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liah\Paper\"/>
    </mc:Choice>
  </mc:AlternateContent>
  <xr:revisionPtr revIDLastSave="0" documentId="13_ncr:1_{6953EB89-320D-4E55-9B56-36451A1BEBB8}" xr6:coauthVersionLast="43" xr6:coauthVersionMax="43" xr10:uidLastSave="{00000000-0000-0000-0000-000000000000}"/>
  <bookViews>
    <workbookView xWindow="13545" yWindow="2190" windowWidth="28800" windowHeight="15750" tabRatio="951" firstSheet="2" activeTab="13" xr2:uid="{00000000-000D-0000-FFFF-FFFF00000000}"/>
  </bookViews>
  <sheets>
    <sheet name="Jan" sheetId="1" r:id="rId1"/>
    <sheet name="Feb" sheetId="2" r:id="rId2"/>
    <sheet name="Mar" sheetId="3" r:id="rId3"/>
    <sheet name="Apr" sheetId="4" r:id="rId4"/>
    <sheet name="Mei" sheetId="5" r:id="rId5"/>
    <sheet name="Jun" sheetId="6" r:id="rId6"/>
    <sheet name="Jul" sheetId="7" r:id="rId7"/>
    <sheet name="Ags" sheetId="8" r:id="rId8"/>
    <sheet name="Sep" sheetId="9" r:id="rId9"/>
    <sheet name="Okt" sheetId="10" r:id="rId10"/>
    <sheet name="Nov" sheetId="11" r:id="rId11"/>
    <sheet name="Des" sheetId="12" r:id="rId12"/>
    <sheet name="Rekap" sheetId="13" r:id="rId13"/>
    <sheet name="Distribusi Sedimen" sheetId="15" r:id="rId14"/>
  </sheets>
  <externalReferences>
    <externalReference r:id="rId15"/>
  </externalReferences>
  <definedNames>
    <definedName name="_xlnm._FilterDatabase" localSheetId="7" hidden="1">Ags!$B$16:$B$45</definedName>
    <definedName name="_xlnm._FilterDatabase" localSheetId="3" hidden="1">Apr!$B$36:$B$65</definedName>
    <definedName name="_xlnm._FilterDatabase" localSheetId="11" hidden="1">Des!$B$16:$B$45</definedName>
    <definedName name="_xlnm._FilterDatabase" localSheetId="1" hidden="1">Feb!$B$36:$B$65</definedName>
    <definedName name="_xlnm._FilterDatabase" localSheetId="0" hidden="1">Jan!$B$35:$B$64</definedName>
    <definedName name="_xlnm._FilterDatabase" localSheetId="6" hidden="1">Jul!$B$16:$B$45</definedName>
    <definedName name="_xlnm._FilterDatabase" localSheetId="5" hidden="1">Jun!$B$16:$B$45</definedName>
    <definedName name="_xlnm._FilterDatabase" localSheetId="2" hidden="1">Mar!$B$35:$B$64</definedName>
    <definedName name="_xlnm._FilterDatabase" localSheetId="4" hidden="1">Mei!$B$35:$B$64</definedName>
    <definedName name="_xlnm._FilterDatabase" localSheetId="10" hidden="1">Nov!$B$16:$B$45</definedName>
    <definedName name="_xlnm._FilterDatabase" localSheetId="9" hidden="1">Okt!$B$16:$B$45</definedName>
    <definedName name="_xlnm._FilterDatabase" localSheetId="8" hidden="1">Sep!$B$16:$B$45</definedName>
  </definedNames>
  <calcPr calcId="181029"/>
</workbook>
</file>

<file path=xl/calcChain.xml><?xml version="1.0" encoding="utf-8"?>
<calcChain xmlns="http://schemas.openxmlformats.org/spreadsheetml/2006/main">
  <c r="F58" i="15" l="1"/>
  <c r="K37" i="15"/>
  <c r="L37" i="15" s="1"/>
  <c r="N37" i="15" s="1"/>
  <c r="J37" i="15"/>
  <c r="P37" i="15" s="1"/>
  <c r="H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M37" i="15" l="1"/>
  <c r="M40" i="15"/>
  <c r="M41" i="15"/>
  <c r="L40" i="15"/>
  <c r="N40" i="15" s="1"/>
  <c r="L41" i="15"/>
  <c r="N41" i="15" s="1"/>
  <c r="L42" i="15"/>
  <c r="N42" i="15" s="1"/>
  <c r="L47" i="15"/>
  <c r="N47" i="15" s="1"/>
  <c r="L48" i="15"/>
  <c r="N48" i="15" s="1"/>
  <c r="L49" i="15"/>
  <c r="N49" i="15" s="1"/>
  <c r="L50" i="15"/>
  <c r="N50" i="15" s="1"/>
  <c r="L55" i="15"/>
  <c r="N55" i="15" s="1"/>
  <c r="L39" i="15"/>
  <c r="N39" i="15" s="1"/>
  <c r="L38" i="15"/>
  <c r="N38" i="15" s="1"/>
  <c r="J55" i="15"/>
  <c r="M55" i="15" s="1"/>
  <c r="K39" i="15"/>
  <c r="K40" i="15"/>
  <c r="K41" i="15"/>
  <c r="K42" i="15"/>
  <c r="K43" i="15"/>
  <c r="L43" i="15" s="1"/>
  <c r="N43" i="15" s="1"/>
  <c r="K44" i="15"/>
  <c r="L44" i="15" s="1"/>
  <c r="N44" i="15" s="1"/>
  <c r="K45" i="15"/>
  <c r="L45" i="15" s="1"/>
  <c r="N45" i="15" s="1"/>
  <c r="K46" i="15"/>
  <c r="L46" i="15" s="1"/>
  <c r="N46" i="15" s="1"/>
  <c r="K47" i="15"/>
  <c r="K48" i="15"/>
  <c r="K49" i="15"/>
  <c r="K50" i="15"/>
  <c r="K51" i="15"/>
  <c r="L51" i="15" s="1"/>
  <c r="N51" i="15" s="1"/>
  <c r="K52" i="15"/>
  <c r="L52" i="15" s="1"/>
  <c r="N52" i="15" s="1"/>
  <c r="K53" i="15"/>
  <c r="L53" i="15" s="1"/>
  <c r="N53" i="15" s="1"/>
  <c r="K54" i="15"/>
  <c r="L54" i="15" s="1"/>
  <c r="N54" i="15" s="1"/>
  <c r="K55" i="15"/>
  <c r="K38" i="15"/>
  <c r="J38" i="15"/>
  <c r="M38" i="15" s="1"/>
  <c r="J40" i="15"/>
  <c r="J41" i="15"/>
  <c r="J42" i="15"/>
  <c r="M42" i="15" s="1"/>
  <c r="J43" i="15"/>
  <c r="M43" i="15" s="1"/>
  <c r="J44" i="15"/>
  <c r="M44" i="15" s="1"/>
  <c r="J45" i="15"/>
  <c r="M45" i="15" s="1"/>
  <c r="J46" i="15"/>
  <c r="M46" i="15" s="1"/>
  <c r="J47" i="15"/>
  <c r="M47" i="15" s="1"/>
  <c r="J48" i="15"/>
  <c r="M48" i="15" s="1"/>
  <c r="J49" i="15"/>
  <c r="M49" i="15" s="1"/>
  <c r="J50" i="15"/>
  <c r="M50" i="15" s="1"/>
  <c r="J51" i="15"/>
  <c r="M51" i="15" s="1"/>
  <c r="J52" i="15"/>
  <c r="M52" i="15" s="1"/>
  <c r="J53" i="15"/>
  <c r="M53" i="15" s="1"/>
  <c r="J54" i="15"/>
  <c r="M54" i="15" s="1"/>
  <c r="J39" i="15"/>
  <c r="M39" i="15" s="1"/>
  <c r="F29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4" i="1"/>
  <c r="F15" i="1"/>
  <c r="F16" i="1"/>
  <c r="F17" i="1"/>
  <c r="F18" i="1"/>
  <c r="F19" i="1"/>
  <c r="F20" i="1"/>
  <c r="F13" i="1"/>
  <c r="F22" i="1" l="1"/>
  <c r="F23" i="1"/>
  <c r="F24" i="1"/>
  <c r="F25" i="1"/>
  <c r="F26" i="1"/>
  <c r="F27" i="1"/>
  <c r="F28" i="1"/>
  <c r="F29" i="1"/>
  <c r="F21" i="1"/>
  <c r="F10" i="1"/>
  <c r="F6" i="1"/>
  <c r="C55" i="15"/>
  <c r="F55" i="15" s="1"/>
  <c r="C54" i="15"/>
  <c r="F53" i="15"/>
  <c r="I53" i="15" s="1"/>
  <c r="C53" i="15"/>
  <c r="C52" i="15"/>
  <c r="C51" i="15"/>
  <c r="F51" i="15" s="1"/>
  <c r="I51" i="15" s="1"/>
  <c r="C50" i="15"/>
  <c r="C49" i="15"/>
  <c r="F49" i="15" s="1"/>
  <c r="I49" i="15" s="1"/>
  <c r="C48" i="15"/>
  <c r="F47" i="15"/>
  <c r="I47" i="15" s="1"/>
  <c r="C47" i="15"/>
  <c r="C46" i="15"/>
  <c r="F45" i="15"/>
  <c r="I45" i="15" s="1"/>
  <c r="C45" i="15"/>
  <c r="C44" i="15"/>
  <c r="F44" i="15" s="1"/>
  <c r="I44" i="15" s="1"/>
  <c r="C43" i="15"/>
  <c r="F43" i="15" s="1"/>
  <c r="I43" i="15" s="1"/>
  <c r="C42" i="15"/>
  <c r="C41" i="15"/>
  <c r="F41" i="15" s="1"/>
  <c r="I41" i="15" s="1"/>
  <c r="C40" i="15"/>
  <c r="F40" i="15" s="1"/>
  <c r="I40" i="15" s="1"/>
  <c r="C39" i="15"/>
  <c r="C38" i="15"/>
  <c r="C36" i="15"/>
  <c r="C35" i="15"/>
  <c r="C34" i="15"/>
  <c r="C33" i="15"/>
  <c r="C32" i="15"/>
  <c r="F32" i="15" s="1"/>
  <c r="I32" i="15" s="1"/>
  <c r="C31" i="15"/>
  <c r="C30" i="15"/>
  <c r="C29" i="15"/>
  <c r="C28" i="15"/>
  <c r="C27" i="15"/>
  <c r="C26" i="15"/>
  <c r="F26" i="15" s="1"/>
  <c r="I26" i="15" s="1"/>
  <c r="C25" i="15"/>
  <c r="F25" i="15" s="1"/>
  <c r="I25" i="15" s="1"/>
  <c r="C24" i="15"/>
  <c r="F24" i="15" s="1"/>
  <c r="I24" i="15" s="1"/>
  <c r="C23" i="15"/>
  <c r="F22" i="15"/>
  <c r="I22" i="15" s="1"/>
  <c r="C22" i="15"/>
  <c r="C21" i="15"/>
  <c r="F21" i="15" s="1"/>
  <c r="I21" i="15" s="1"/>
  <c r="C20" i="15"/>
  <c r="F20" i="15" s="1"/>
  <c r="I20" i="15" s="1"/>
  <c r="C19" i="15"/>
  <c r="C18" i="15"/>
  <c r="F18" i="15" s="1"/>
  <c r="I18" i="15" s="1"/>
  <c r="C17" i="15"/>
  <c r="F17" i="15" s="1"/>
  <c r="I17" i="15" s="1"/>
  <c r="C16" i="15"/>
  <c r="F16" i="15" s="1"/>
  <c r="I16" i="15" s="1"/>
  <c r="C15" i="15"/>
  <c r="C14" i="15"/>
  <c r="F14" i="15" s="1"/>
  <c r="I14" i="15" s="1"/>
  <c r="C13" i="15"/>
  <c r="F13" i="15" s="1"/>
  <c r="I13" i="15" s="1"/>
  <c r="C12" i="15"/>
  <c r="F12" i="15" s="1"/>
  <c r="I12" i="15" s="1"/>
  <c r="C11" i="15"/>
  <c r="F11" i="15" s="1"/>
  <c r="I11" i="15" s="1"/>
  <c r="C10" i="15"/>
  <c r="F10" i="15" s="1"/>
  <c r="I10" i="15" s="1"/>
  <c r="C9" i="15"/>
  <c r="F9" i="15" s="1"/>
  <c r="I9" i="15" s="1"/>
  <c r="C8" i="15"/>
  <c r="F8" i="15" s="1"/>
  <c r="I8" i="15" s="1"/>
  <c r="C7" i="15"/>
  <c r="F7" i="15" s="1"/>
  <c r="I7" i="15" s="1"/>
  <c r="F6" i="15"/>
  <c r="I6" i="15" s="1"/>
  <c r="C6" i="15"/>
  <c r="F4" i="15"/>
  <c r="L4" i="13"/>
  <c r="H5" i="13" s="1"/>
  <c r="H6" i="13" s="1"/>
  <c r="J17" i="12"/>
  <c r="J25" i="12"/>
  <c r="J27" i="12"/>
  <c r="J35" i="12"/>
  <c r="J19" i="11"/>
  <c r="J21" i="11"/>
  <c r="J23" i="11"/>
  <c r="J27" i="11"/>
  <c r="J29" i="11"/>
  <c r="J31" i="11"/>
  <c r="J35" i="11"/>
  <c r="J17" i="10"/>
  <c r="J25" i="10"/>
  <c r="J35" i="10"/>
  <c r="J21" i="9"/>
  <c r="J23" i="9"/>
  <c r="J29" i="9"/>
  <c r="J31" i="9"/>
  <c r="J17" i="8"/>
  <c r="J19" i="8"/>
  <c r="J25" i="8"/>
  <c r="J27" i="8"/>
  <c r="J33" i="8"/>
  <c r="J35" i="8"/>
  <c r="J21" i="7"/>
  <c r="J23" i="7"/>
  <c r="J31" i="7"/>
  <c r="L31" i="7" s="1"/>
  <c r="J19" i="6"/>
  <c r="J27" i="6"/>
  <c r="J33" i="6"/>
  <c r="J39" i="4"/>
  <c r="J41" i="4"/>
  <c r="J47" i="4"/>
  <c r="J49" i="4"/>
  <c r="J55" i="4"/>
  <c r="J50" i="3"/>
  <c r="J40" i="2"/>
  <c r="J48" i="2"/>
  <c r="L48" i="2" s="1"/>
  <c r="J50" i="2"/>
  <c r="J36" i="2"/>
  <c r="C48" i="12"/>
  <c r="C52" i="12" s="1"/>
  <c r="J45" i="12"/>
  <c r="D45" i="12"/>
  <c r="D44" i="12"/>
  <c r="D43" i="12"/>
  <c r="D42" i="12"/>
  <c r="D41" i="12"/>
  <c r="D40" i="12"/>
  <c r="D39" i="12"/>
  <c r="D38" i="12"/>
  <c r="D37" i="12"/>
  <c r="D36" i="12"/>
  <c r="I35" i="12"/>
  <c r="K35" i="12" s="1"/>
  <c r="D35" i="12"/>
  <c r="I34" i="12"/>
  <c r="K34" i="12" s="1"/>
  <c r="D34" i="12"/>
  <c r="I33" i="12"/>
  <c r="K33" i="12" s="1"/>
  <c r="D33" i="12"/>
  <c r="I32" i="12"/>
  <c r="J32" i="12" s="1"/>
  <c r="D32" i="12"/>
  <c r="I31" i="12"/>
  <c r="K31" i="12" s="1"/>
  <c r="D31" i="12"/>
  <c r="I30" i="12"/>
  <c r="D30" i="12"/>
  <c r="I29" i="12"/>
  <c r="K29" i="12" s="1"/>
  <c r="D29" i="12"/>
  <c r="I28" i="12"/>
  <c r="J28" i="12" s="1"/>
  <c r="D28" i="12"/>
  <c r="I27" i="12"/>
  <c r="K27" i="12" s="1"/>
  <c r="D27" i="12"/>
  <c r="I26" i="12"/>
  <c r="K26" i="12" s="1"/>
  <c r="D26" i="12"/>
  <c r="I25" i="12"/>
  <c r="K25" i="12" s="1"/>
  <c r="D25" i="12"/>
  <c r="I24" i="12"/>
  <c r="J24" i="12" s="1"/>
  <c r="D24" i="12"/>
  <c r="I23" i="12"/>
  <c r="K23" i="12" s="1"/>
  <c r="D23" i="12"/>
  <c r="I22" i="12"/>
  <c r="K22" i="12" s="1"/>
  <c r="D22" i="12"/>
  <c r="I21" i="12"/>
  <c r="K21" i="12" s="1"/>
  <c r="D21" i="12"/>
  <c r="I20" i="12"/>
  <c r="D20" i="12"/>
  <c r="I19" i="12"/>
  <c r="K19" i="12" s="1"/>
  <c r="D19" i="12"/>
  <c r="I18" i="12"/>
  <c r="D18" i="12"/>
  <c r="I17" i="12"/>
  <c r="K17" i="12" s="1"/>
  <c r="D17" i="12"/>
  <c r="I16" i="12"/>
  <c r="J16" i="12" s="1"/>
  <c r="D16" i="12"/>
  <c r="F11" i="12"/>
  <c r="F10" i="12"/>
  <c r="F9" i="12"/>
  <c r="F8" i="12"/>
  <c r="F7" i="12"/>
  <c r="F6" i="12"/>
  <c r="F5" i="12"/>
  <c r="C48" i="11"/>
  <c r="C52" i="11" s="1"/>
  <c r="J45" i="11"/>
  <c r="J42" i="11" s="1"/>
  <c r="J43" i="11" s="1"/>
  <c r="D45" i="11"/>
  <c r="D44" i="11"/>
  <c r="D43" i="11"/>
  <c r="D42" i="11"/>
  <c r="D41" i="11"/>
  <c r="D40" i="11"/>
  <c r="D39" i="11"/>
  <c r="D38" i="11"/>
  <c r="D37" i="11"/>
  <c r="D36" i="11"/>
  <c r="I35" i="11"/>
  <c r="K35" i="11" s="1"/>
  <c r="D35" i="11"/>
  <c r="I34" i="11"/>
  <c r="D34" i="11"/>
  <c r="I33" i="11"/>
  <c r="K33" i="11" s="1"/>
  <c r="D33" i="11"/>
  <c r="I32" i="11"/>
  <c r="K32" i="11" s="1"/>
  <c r="D32" i="11"/>
  <c r="I31" i="11"/>
  <c r="K31" i="11" s="1"/>
  <c r="D31" i="11"/>
  <c r="I30" i="11"/>
  <c r="J30" i="11" s="1"/>
  <c r="D30" i="11"/>
  <c r="I29" i="11"/>
  <c r="K29" i="11" s="1"/>
  <c r="D29" i="11"/>
  <c r="I28" i="11"/>
  <c r="K28" i="11" s="1"/>
  <c r="D28" i="11"/>
  <c r="I27" i="11"/>
  <c r="K27" i="11" s="1"/>
  <c r="D27" i="11"/>
  <c r="I26" i="11"/>
  <c r="D26" i="11"/>
  <c r="I25" i="11"/>
  <c r="K25" i="11" s="1"/>
  <c r="D25" i="11"/>
  <c r="I24" i="11"/>
  <c r="K24" i="11" s="1"/>
  <c r="D24" i="11"/>
  <c r="I23" i="11"/>
  <c r="K23" i="11" s="1"/>
  <c r="D23" i="11"/>
  <c r="I22" i="11"/>
  <c r="J22" i="11" s="1"/>
  <c r="D22" i="11"/>
  <c r="I21" i="11"/>
  <c r="D21" i="11"/>
  <c r="I20" i="11"/>
  <c r="K20" i="11" s="1"/>
  <c r="D20" i="11"/>
  <c r="I19" i="11"/>
  <c r="K19" i="11" s="1"/>
  <c r="D19" i="11"/>
  <c r="I18" i="11"/>
  <c r="K18" i="11" s="1"/>
  <c r="D18" i="11"/>
  <c r="I17" i="11"/>
  <c r="K17" i="11" s="1"/>
  <c r="D17" i="11"/>
  <c r="I16" i="11"/>
  <c r="K16" i="11" s="1"/>
  <c r="D16" i="11"/>
  <c r="F11" i="11"/>
  <c r="F10" i="11"/>
  <c r="F9" i="11"/>
  <c r="F8" i="11"/>
  <c r="F7" i="11"/>
  <c r="F6" i="11"/>
  <c r="F5" i="11"/>
  <c r="C48" i="10"/>
  <c r="C52" i="10" s="1"/>
  <c r="J45" i="10"/>
  <c r="J42" i="10" s="1"/>
  <c r="J43" i="10" s="1"/>
  <c r="D45" i="10"/>
  <c r="D44" i="10"/>
  <c r="D43" i="10"/>
  <c r="D42" i="10"/>
  <c r="D41" i="10"/>
  <c r="D40" i="10"/>
  <c r="D39" i="10"/>
  <c r="D38" i="10"/>
  <c r="D37" i="10"/>
  <c r="D36" i="10"/>
  <c r="I35" i="10"/>
  <c r="K35" i="10" s="1"/>
  <c r="D35" i="10"/>
  <c r="I34" i="10"/>
  <c r="K34" i="10" s="1"/>
  <c r="D34" i="10"/>
  <c r="I33" i="10"/>
  <c r="K33" i="10" s="1"/>
  <c r="D33" i="10"/>
  <c r="I32" i="10"/>
  <c r="K32" i="10" s="1"/>
  <c r="D32" i="10"/>
  <c r="I31" i="10"/>
  <c r="K31" i="10" s="1"/>
  <c r="D31" i="10"/>
  <c r="I30" i="10"/>
  <c r="K30" i="10" s="1"/>
  <c r="D30" i="10"/>
  <c r="I29" i="10"/>
  <c r="K29" i="10" s="1"/>
  <c r="D29" i="10"/>
  <c r="I28" i="10"/>
  <c r="D28" i="10"/>
  <c r="I27" i="10"/>
  <c r="K27" i="10" s="1"/>
  <c r="D27" i="10"/>
  <c r="I26" i="10"/>
  <c r="K26" i="10" s="1"/>
  <c r="D26" i="10"/>
  <c r="I25" i="10"/>
  <c r="K25" i="10" s="1"/>
  <c r="D25" i="10"/>
  <c r="K24" i="10"/>
  <c r="I24" i="10"/>
  <c r="J24" i="10" s="1"/>
  <c r="D24" i="10"/>
  <c r="I23" i="10"/>
  <c r="K23" i="10" s="1"/>
  <c r="D23" i="10"/>
  <c r="I22" i="10"/>
  <c r="K22" i="10" s="1"/>
  <c r="D22" i="10"/>
  <c r="I21" i="10"/>
  <c r="K21" i="10" s="1"/>
  <c r="D21" i="10"/>
  <c r="I20" i="10"/>
  <c r="J20" i="10" s="1"/>
  <c r="D20" i="10"/>
  <c r="I19" i="10"/>
  <c r="K19" i="10" s="1"/>
  <c r="D19" i="10"/>
  <c r="I18" i="10"/>
  <c r="K18" i="10" s="1"/>
  <c r="D18" i="10"/>
  <c r="I17" i="10"/>
  <c r="K17" i="10" s="1"/>
  <c r="D17" i="10"/>
  <c r="I16" i="10"/>
  <c r="J16" i="10" s="1"/>
  <c r="D16" i="10"/>
  <c r="F11" i="10"/>
  <c r="F10" i="10"/>
  <c r="F9" i="10"/>
  <c r="F8" i="10"/>
  <c r="F7" i="10"/>
  <c r="F6" i="10"/>
  <c r="F5" i="10"/>
  <c r="C48" i="9"/>
  <c r="C52" i="9" s="1"/>
  <c r="J45" i="9"/>
  <c r="J42" i="9" s="1"/>
  <c r="J43" i="9" s="1"/>
  <c r="D45" i="9"/>
  <c r="D44" i="9"/>
  <c r="D43" i="9"/>
  <c r="D42" i="9"/>
  <c r="D41" i="9"/>
  <c r="D40" i="9"/>
  <c r="D39" i="9"/>
  <c r="D38" i="9"/>
  <c r="D37" i="9"/>
  <c r="D36" i="9"/>
  <c r="I35" i="9"/>
  <c r="K35" i="9" s="1"/>
  <c r="D35" i="9"/>
  <c r="I34" i="9"/>
  <c r="K34" i="9" s="1"/>
  <c r="D34" i="9"/>
  <c r="I33" i="9"/>
  <c r="J33" i="9" s="1"/>
  <c r="D33" i="9"/>
  <c r="I32" i="9"/>
  <c r="K32" i="9" s="1"/>
  <c r="D32" i="9"/>
  <c r="I31" i="9"/>
  <c r="D31" i="9"/>
  <c r="K30" i="9"/>
  <c r="I30" i="9"/>
  <c r="D30" i="9"/>
  <c r="I29" i="9"/>
  <c r="K29" i="9" s="1"/>
  <c r="D29" i="9"/>
  <c r="I28" i="9"/>
  <c r="K28" i="9" s="1"/>
  <c r="D28" i="9"/>
  <c r="I27" i="9"/>
  <c r="D27" i="9"/>
  <c r="I26" i="9"/>
  <c r="K26" i="9" s="1"/>
  <c r="D26" i="9"/>
  <c r="I25" i="9"/>
  <c r="K25" i="9" s="1"/>
  <c r="D25" i="9"/>
  <c r="I24" i="9"/>
  <c r="K24" i="9" s="1"/>
  <c r="D24" i="9"/>
  <c r="I23" i="9"/>
  <c r="D23" i="9"/>
  <c r="I22" i="9"/>
  <c r="K22" i="9" s="1"/>
  <c r="D22" i="9"/>
  <c r="K21" i="9"/>
  <c r="I21" i="9"/>
  <c r="D21" i="9"/>
  <c r="I20" i="9"/>
  <c r="K20" i="9" s="1"/>
  <c r="D20" i="9"/>
  <c r="I19" i="9"/>
  <c r="D19" i="9"/>
  <c r="I18" i="9"/>
  <c r="K18" i="9" s="1"/>
  <c r="D18" i="9"/>
  <c r="I17" i="9"/>
  <c r="D17" i="9"/>
  <c r="I16" i="9"/>
  <c r="K16" i="9" s="1"/>
  <c r="D16" i="9"/>
  <c r="F11" i="9"/>
  <c r="F10" i="9"/>
  <c r="F9" i="9"/>
  <c r="F8" i="9"/>
  <c r="F7" i="9"/>
  <c r="F6" i="9"/>
  <c r="F5" i="9"/>
  <c r="C48" i="8"/>
  <c r="C52" i="8" s="1"/>
  <c r="J45" i="8"/>
  <c r="J42" i="8" s="1"/>
  <c r="J43" i="8" s="1"/>
  <c r="D45" i="8"/>
  <c r="D44" i="8"/>
  <c r="D43" i="8"/>
  <c r="D42" i="8"/>
  <c r="D41" i="8"/>
  <c r="D40" i="8"/>
  <c r="D39" i="8"/>
  <c r="D38" i="8"/>
  <c r="D37" i="8"/>
  <c r="D36" i="8"/>
  <c r="I35" i="8"/>
  <c r="D35" i="8"/>
  <c r="I34" i="8"/>
  <c r="J34" i="8" s="1"/>
  <c r="D34" i="8"/>
  <c r="I33" i="8"/>
  <c r="K33" i="8" s="1"/>
  <c r="D33" i="8"/>
  <c r="I32" i="8"/>
  <c r="K32" i="8" s="1"/>
  <c r="D32" i="8"/>
  <c r="I31" i="8"/>
  <c r="D31" i="8"/>
  <c r="I30" i="8"/>
  <c r="J30" i="8" s="1"/>
  <c r="D30" i="8"/>
  <c r="I29" i="8"/>
  <c r="K29" i="8" s="1"/>
  <c r="D29" i="8"/>
  <c r="I28" i="8"/>
  <c r="K28" i="8" s="1"/>
  <c r="D28" i="8"/>
  <c r="I27" i="8"/>
  <c r="K27" i="8" s="1"/>
  <c r="D27" i="8"/>
  <c r="I26" i="8"/>
  <c r="D26" i="8"/>
  <c r="I25" i="8"/>
  <c r="K25" i="8" s="1"/>
  <c r="D25" i="8"/>
  <c r="I24" i="8"/>
  <c r="K24" i="8" s="1"/>
  <c r="D24" i="8"/>
  <c r="I23" i="8"/>
  <c r="K23" i="8" s="1"/>
  <c r="D23" i="8"/>
  <c r="I22" i="8"/>
  <c r="D22" i="8"/>
  <c r="I21" i="8"/>
  <c r="K21" i="8" s="1"/>
  <c r="D21" i="8"/>
  <c r="I20" i="8"/>
  <c r="K20" i="8" s="1"/>
  <c r="D20" i="8"/>
  <c r="I19" i="8"/>
  <c r="K19" i="8" s="1"/>
  <c r="D19" i="8"/>
  <c r="I18" i="8"/>
  <c r="D18" i="8"/>
  <c r="I17" i="8"/>
  <c r="K17" i="8" s="1"/>
  <c r="D17" i="8"/>
  <c r="I16" i="8"/>
  <c r="K16" i="8" s="1"/>
  <c r="D16" i="8"/>
  <c r="F11" i="8"/>
  <c r="F10" i="8"/>
  <c r="F9" i="8"/>
  <c r="F8" i="8"/>
  <c r="F7" i="8"/>
  <c r="F6" i="8"/>
  <c r="F5" i="8"/>
  <c r="C48" i="7"/>
  <c r="C52" i="7" s="1"/>
  <c r="J45" i="7"/>
  <c r="J42" i="7" s="1"/>
  <c r="J43" i="7" s="1"/>
  <c r="D45" i="7"/>
  <c r="D44" i="7"/>
  <c r="D43" i="7"/>
  <c r="D42" i="7"/>
  <c r="D41" i="7"/>
  <c r="D40" i="7"/>
  <c r="D39" i="7"/>
  <c r="D38" i="7"/>
  <c r="D37" i="7"/>
  <c r="D36" i="7"/>
  <c r="I35" i="7"/>
  <c r="K35" i="7" s="1"/>
  <c r="D35" i="7"/>
  <c r="I34" i="7"/>
  <c r="K34" i="7" s="1"/>
  <c r="D34" i="7"/>
  <c r="I33" i="7"/>
  <c r="D33" i="7"/>
  <c r="I32" i="7"/>
  <c r="K32" i="7" s="1"/>
  <c r="D32" i="7"/>
  <c r="I31" i="7"/>
  <c r="K31" i="7" s="1"/>
  <c r="D31" i="7"/>
  <c r="I30" i="7"/>
  <c r="K30" i="7" s="1"/>
  <c r="D30" i="7"/>
  <c r="I29" i="7"/>
  <c r="K29" i="7" s="1"/>
  <c r="D29" i="7"/>
  <c r="I28" i="7"/>
  <c r="J28" i="7" s="1"/>
  <c r="D28" i="7"/>
  <c r="I27" i="7"/>
  <c r="K27" i="7" s="1"/>
  <c r="D27" i="7"/>
  <c r="I26" i="7"/>
  <c r="K26" i="7" s="1"/>
  <c r="D26" i="7"/>
  <c r="I25" i="7"/>
  <c r="D25" i="7"/>
  <c r="I24" i="7"/>
  <c r="J24" i="7" s="1"/>
  <c r="D24" i="7"/>
  <c r="I23" i="7"/>
  <c r="D23" i="7"/>
  <c r="I22" i="7"/>
  <c r="K22" i="7" s="1"/>
  <c r="D22" i="7"/>
  <c r="L21" i="7"/>
  <c r="I21" i="7"/>
  <c r="K21" i="7" s="1"/>
  <c r="D21" i="7"/>
  <c r="I20" i="7"/>
  <c r="J20" i="7" s="1"/>
  <c r="D20" i="7"/>
  <c r="I19" i="7"/>
  <c r="J19" i="7" s="1"/>
  <c r="D19" i="7"/>
  <c r="I18" i="7"/>
  <c r="K18" i="7" s="1"/>
  <c r="D18" i="7"/>
  <c r="I17" i="7"/>
  <c r="K17" i="7" s="1"/>
  <c r="D17" i="7"/>
  <c r="I16" i="7"/>
  <c r="J16" i="7" s="1"/>
  <c r="D16" i="7"/>
  <c r="F11" i="7"/>
  <c r="F10" i="7"/>
  <c r="F9" i="7"/>
  <c r="F8" i="7"/>
  <c r="F7" i="7"/>
  <c r="F6" i="7"/>
  <c r="F5" i="7"/>
  <c r="C48" i="6"/>
  <c r="C52" i="6" s="1"/>
  <c r="J45" i="6"/>
  <c r="J42" i="6" s="1"/>
  <c r="J43" i="6" s="1"/>
  <c r="D45" i="6"/>
  <c r="D44" i="6"/>
  <c r="D43" i="6"/>
  <c r="D42" i="6"/>
  <c r="D41" i="6"/>
  <c r="D40" i="6"/>
  <c r="D39" i="6"/>
  <c r="D38" i="6"/>
  <c r="D37" i="6"/>
  <c r="D36" i="6"/>
  <c r="I35" i="6"/>
  <c r="K35" i="6" s="1"/>
  <c r="D35" i="6"/>
  <c r="I34" i="6"/>
  <c r="K34" i="6" s="1"/>
  <c r="D34" i="6"/>
  <c r="I33" i="6"/>
  <c r="D33" i="6"/>
  <c r="I32" i="6"/>
  <c r="K32" i="6" s="1"/>
  <c r="D32" i="6"/>
  <c r="I31" i="6"/>
  <c r="D31" i="6"/>
  <c r="I30" i="6"/>
  <c r="J30" i="6" s="1"/>
  <c r="D30" i="6"/>
  <c r="I29" i="6"/>
  <c r="J29" i="6" s="1"/>
  <c r="L29" i="6" s="1"/>
  <c r="D29" i="6"/>
  <c r="I28" i="6"/>
  <c r="K28" i="6" s="1"/>
  <c r="D28" i="6"/>
  <c r="I27" i="6"/>
  <c r="D27" i="6"/>
  <c r="I26" i="6"/>
  <c r="K26" i="6" s="1"/>
  <c r="D26" i="6"/>
  <c r="I25" i="6"/>
  <c r="K25" i="6" s="1"/>
  <c r="D25" i="6"/>
  <c r="I24" i="6"/>
  <c r="K24" i="6" s="1"/>
  <c r="D24" i="6"/>
  <c r="I23" i="6"/>
  <c r="J23" i="6" s="1"/>
  <c r="D23" i="6"/>
  <c r="I22" i="6"/>
  <c r="K22" i="6" s="1"/>
  <c r="D22" i="6"/>
  <c r="I21" i="6"/>
  <c r="D21" i="6"/>
  <c r="I20" i="6"/>
  <c r="K20" i="6" s="1"/>
  <c r="D20" i="6"/>
  <c r="I19" i="6"/>
  <c r="D19" i="6"/>
  <c r="I18" i="6"/>
  <c r="J18" i="6" s="1"/>
  <c r="D18" i="6"/>
  <c r="I17" i="6"/>
  <c r="K17" i="6" s="1"/>
  <c r="D17" i="6"/>
  <c r="I16" i="6"/>
  <c r="K16" i="6" s="1"/>
  <c r="D16" i="6"/>
  <c r="F11" i="6"/>
  <c r="F10" i="6"/>
  <c r="F9" i="6"/>
  <c r="F8" i="6"/>
  <c r="F7" i="6"/>
  <c r="F6" i="6"/>
  <c r="F5" i="6"/>
  <c r="C67" i="5"/>
  <c r="C71" i="5" s="1"/>
  <c r="J64" i="5"/>
  <c r="J61" i="5" s="1"/>
  <c r="J62" i="5" s="1"/>
  <c r="D64" i="5"/>
  <c r="D63" i="5"/>
  <c r="D62" i="5"/>
  <c r="D61" i="5"/>
  <c r="D60" i="5"/>
  <c r="D59" i="5"/>
  <c r="D58" i="5"/>
  <c r="D57" i="5"/>
  <c r="D56" i="5"/>
  <c r="D55" i="5"/>
  <c r="I54" i="5"/>
  <c r="K54" i="5" s="1"/>
  <c r="D54" i="5"/>
  <c r="I53" i="5"/>
  <c r="K53" i="5" s="1"/>
  <c r="D53" i="5"/>
  <c r="I52" i="5"/>
  <c r="K52" i="5" s="1"/>
  <c r="D52" i="5"/>
  <c r="I51" i="5"/>
  <c r="J51" i="5" s="1"/>
  <c r="D51" i="5"/>
  <c r="I50" i="5"/>
  <c r="J50" i="5" s="1"/>
  <c r="L50" i="5" s="1"/>
  <c r="D50" i="5"/>
  <c r="I49" i="5"/>
  <c r="K49" i="5" s="1"/>
  <c r="D49" i="5"/>
  <c r="I48" i="5"/>
  <c r="K48" i="5" s="1"/>
  <c r="D48" i="5"/>
  <c r="I47" i="5"/>
  <c r="J47" i="5" s="1"/>
  <c r="D47" i="5"/>
  <c r="I46" i="5"/>
  <c r="K46" i="5" s="1"/>
  <c r="D46" i="5"/>
  <c r="I45" i="5"/>
  <c r="K45" i="5" s="1"/>
  <c r="D45" i="5"/>
  <c r="I44" i="5"/>
  <c r="K44" i="5" s="1"/>
  <c r="D44" i="5"/>
  <c r="I43" i="5"/>
  <c r="J43" i="5" s="1"/>
  <c r="D43" i="5"/>
  <c r="I42" i="5"/>
  <c r="K42" i="5" s="1"/>
  <c r="D42" i="5"/>
  <c r="I41" i="5"/>
  <c r="K41" i="5" s="1"/>
  <c r="D41" i="5"/>
  <c r="I40" i="5"/>
  <c r="K40" i="5" s="1"/>
  <c r="D40" i="5"/>
  <c r="I39" i="5"/>
  <c r="K39" i="5" s="1"/>
  <c r="D39" i="5"/>
  <c r="I38" i="5"/>
  <c r="K38" i="5" s="1"/>
  <c r="D38" i="5"/>
  <c r="I37" i="5"/>
  <c r="D37" i="5"/>
  <c r="I36" i="5"/>
  <c r="K36" i="5" s="1"/>
  <c r="D36" i="5"/>
  <c r="I35" i="5"/>
  <c r="K35" i="5" s="1"/>
  <c r="D35" i="5"/>
  <c r="C68" i="4"/>
  <c r="C72" i="4" s="1"/>
  <c r="J65" i="4"/>
  <c r="J62" i="4" s="1"/>
  <c r="J63" i="4" s="1"/>
  <c r="D65" i="4"/>
  <c r="D64" i="4"/>
  <c r="D63" i="4"/>
  <c r="D62" i="4"/>
  <c r="D61" i="4"/>
  <c r="D60" i="4"/>
  <c r="D59" i="4"/>
  <c r="D58" i="4"/>
  <c r="D57" i="4"/>
  <c r="D56" i="4"/>
  <c r="I55" i="4"/>
  <c r="K55" i="4" s="1"/>
  <c r="D55" i="4"/>
  <c r="I54" i="4"/>
  <c r="J54" i="4" s="1"/>
  <c r="D54" i="4"/>
  <c r="I53" i="4"/>
  <c r="K53" i="4" s="1"/>
  <c r="D53" i="4"/>
  <c r="I52" i="4"/>
  <c r="K52" i="4" s="1"/>
  <c r="D52" i="4"/>
  <c r="I51" i="4"/>
  <c r="K51" i="4" s="1"/>
  <c r="D51" i="4"/>
  <c r="K50" i="4"/>
  <c r="I50" i="4"/>
  <c r="D50" i="4"/>
  <c r="I49" i="4"/>
  <c r="K49" i="4" s="1"/>
  <c r="D49" i="4"/>
  <c r="I48" i="4"/>
  <c r="K48" i="4" s="1"/>
  <c r="D48" i="4"/>
  <c r="I47" i="4"/>
  <c r="K47" i="4" s="1"/>
  <c r="D47" i="4"/>
  <c r="I46" i="4"/>
  <c r="K46" i="4" s="1"/>
  <c r="D46" i="4"/>
  <c r="I45" i="4"/>
  <c r="J45" i="4" s="1"/>
  <c r="D45" i="4"/>
  <c r="I44" i="4"/>
  <c r="K44" i="4" s="1"/>
  <c r="D44" i="4"/>
  <c r="I43" i="4"/>
  <c r="K43" i="4" s="1"/>
  <c r="D43" i="4"/>
  <c r="I42" i="4"/>
  <c r="D42" i="4"/>
  <c r="I41" i="4"/>
  <c r="K41" i="4" s="1"/>
  <c r="D41" i="4"/>
  <c r="I40" i="4"/>
  <c r="K40" i="4" s="1"/>
  <c r="D40" i="4"/>
  <c r="I39" i="4"/>
  <c r="K39" i="4" s="1"/>
  <c r="D39" i="4"/>
  <c r="I38" i="4"/>
  <c r="K38" i="4" s="1"/>
  <c r="D38" i="4"/>
  <c r="I37" i="4"/>
  <c r="K37" i="4" s="1"/>
  <c r="D37" i="4"/>
  <c r="I36" i="4"/>
  <c r="K36" i="4" s="1"/>
  <c r="D36" i="4"/>
  <c r="C67" i="3"/>
  <c r="C71" i="3" s="1"/>
  <c r="J64" i="3"/>
  <c r="J61" i="3" s="1"/>
  <c r="J62" i="3" s="1"/>
  <c r="D64" i="3"/>
  <c r="D63" i="3"/>
  <c r="D62" i="3"/>
  <c r="D61" i="3"/>
  <c r="D60" i="3"/>
  <c r="D59" i="3"/>
  <c r="D58" i="3"/>
  <c r="D57" i="3"/>
  <c r="D56" i="3"/>
  <c r="D55" i="3"/>
  <c r="I54" i="3"/>
  <c r="J54" i="3" s="1"/>
  <c r="D54" i="3"/>
  <c r="I53" i="3"/>
  <c r="K53" i="3" s="1"/>
  <c r="D53" i="3"/>
  <c r="I52" i="3"/>
  <c r="J52" i="3" s="1"/>
  <c r="D52" i="3"/>
  <c r="I51" i="3"/>
  <c r="K51" i="3" s="1"/>
  <c r="D51" i="3"/>
  <c r="I50" i="3"/>
  <c r="D50" i="3"/>
  <c r="I49" i="3"/>
  <c r="D49" i="3"/>
  <c r="I48" i="3"/>
  <c r="K48" i="3" s="1"/>
  <c r="D48" i="3"/>
  <c r="I47" i="3"/>
  <c r="K47" i="3" s="1"/>
  <c r="D47" i="3"/>
  <c r="I46" i="3"/>
  <c r="K46" i="3" s="1"/>
  <c r="D46" i="3"/>
  <c r="I45" i="3"/>
  <c r="J45" i="3" s="1"/>
  <c r="D45" i="3"/>
  <c r="I44" i="3"/>
  <c r="J44" i="3" s="1"/>
  <c r="D44" i="3"/>
  <c r="I43" i="3"/>
  <c r="K43" i="3" s="1"/>
  <c r="D43" i="3"/>
  <c r="I42" i="3"/>
  <c r="D42" i="3"/>
  <c r="I41" i="3"/>
  <c r="J41" i="3" s="1"/>
  <c r="D41" i="3"/>
  <c r="I40" i="3"/>
  <c r="K40" i="3" s="1"/>
  <c r="D40" i="3"/>
  <c r="I39" i="3"/>
  <c r="K39" i="3" s="1"/>
  <c r="D39" i="3"/>
  <c r="I38" i="3"/>
  <c r="D38" i="3"/>
  <c r="I37" i="3"/>
  <c r="K37" i="3" s="1"/>
  <c r="D37" i="3"/>
  <c r="I36" i="3"/>
  <c r="J36" i="3" s="1"/>
  <c r="D36" i="3"/>
  <c r="I35" i="3"/>
  <c r="K35" i="3" s="1"/>
  <c r="D35" i="3"/>
  <c r="I50" i="2"/>
  <c r="I52" i="2"/>
  <c r="J52" i="2" s="1"/>
  <c r="L52" i="2" s="1"/>
  <c r="I53" i="2"/>
  <c r="J53" i="2" s="1"/>
  <c r="I54" i="2"/>
  <c r="K54" i="2" s="1"/>
  <c r="I55" i="2"/>
  <c r="J55" i="2" s="1"/>
  <c r="L55" i="2" s="1"/>
  <c r="I51" i="2"/>
  <c r="K51" i="2" s="1"/>
  <c r="I49" i="2"/>
  <c r="I48" i="2"/>
  <c r="K48" i="2" s="1"/>
  <c r="I47" i="2"/>
  <c r="K47" i="2" s="1"/>
  <c r="I46" i="2"/>
  <c r="K46" i="2" s="1"/>
  <c r="I45" i="2"/>
  <c r="K45" i="2" s="1"/>
  <c r="I43" i="2"/>
  <c r="J43" i="2" s="1"/>
  <c r="I42" i="2"/>
  <c r="J42" i="2" s="1"/>
  <c r="L42" i="2" s="1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36" i="2"/>
  <c r="C68" i="2"/>
  <c r="C72" i="2" s="1"/>
  <c r="J65" i="2"/>
  <c r="J62" i="2" s="1"/>
  <c r="J63" i="2" s="1"/>
  <c r="K55" i="2"/>
  <c r="K50" i="2"/>
  <c r="I44" i="2"/>
  <c r="J44" i="2" s="1"/>
  <c r="I41" i="2"/>
  <c r="K41" i="2" s="1"/>
  <c r="I40" i="2"/>
  <c r="I39" i="2"/>
  <c r="K39" i="2" s="1"/>
  <c r="I38" i="2"/>
  <c r="J38" i="2" s="1"/>
  <c r="I37" i="2"/>
  <c r="K37" i="2" s="1"/>
  <c r="I36" i="2"/>
  <c r="I41" i="1"/>
  <c r="J41" i="1" s="1"/>
  <c r="J35" i="6" l="1"/>
  <c r="J27" i="10"/>
  <c r="L27" i="10" s="1"/>
  <c r="J19" i="10"/>
  <c r="L19" i="10" s="1"/>
  <c r="J19" i="12"/>
  <c r="L19" i="12" s="1"/>
  <c r="K53" i="2"/>
  <c r="K50" i="5"/>
  <c r="L31" i="6"/>
  <c r="L18" i="8"/>
  <c r="L22" i="8"/>
  <c r="J49" i="2"/>
  <c r="L49" i="2" s="1"/>
  <c r="J41" i="2"/>
  <c r="J36" i="4"/>
  <c r="J48" i="4"/>
  <c r="J40" i="4"/>
  <c r="L40" i="4" s="1"/>
  <c r="J34" i="6"/>
  <c r="L34" i="6" s="1"/>
  <c r="J26" i="6"/>
  <c r="L26" i="6" s="1"/>
  <c r="J30" i="7"/>
  <c r="J22" i="7"/>
  <c r="J26" i="8"/>
  <c r="L26" i="8" s="1"/>
  <c r="J18" i="8"/>
  <c r="J30" i="9"/>
  <c r="L30" i="9" s="1"/>
  <c r="J22" i="9"/>
  <c r="L22" i="9" s="1"/>
  <c r="J34" i="10"/>
  <c r="L34" i="10" s="1"/>
  <c r="J26" i="10"/>
  <c r="J18" i="10"/>
  <c r="J34" i="12"/>
  <c r="J26" i="12"/>
  <c r="J18" i="12"/>
  <c r="L18" i="12" s="1"/>
  <c r="L21" i="6"/>
  <c r="J17" i="6"/>
  <c r="L17" i="6" s="1"/>
  <c r="L34" i="8"/>
  <c r="L23" i="9"/>
  <c r="L27" i="9"/>
  <c r="L21" i="11"/>
  <c r="J47" i="2"/>
  <c r="L47" i="2" s="1"/>
  <c r="J39" i="2"/>
  <c r="J46" i="4"/>
  <c r="J38" i="4"/>
  <c r="J32" i="6"/>
  <c r="J24" i="6"/>
  <c r="J32" i="8"/>
  <c r="J24" i="8"/>
  <c r="L24" i="8" s="1"/>
  <c r="J16" i="9"/>
  <c r="L16" i="9" s="1"/>
  <c r="J28" i="9"/>
  <c r="J20" i="9"/>
  <c r="J32" i="10"/>
  <c r="J16" i="11"/>
  <c r="J28" i="11"/>
  <c r="J20" i="11"/>
  <c r="L20" i="11" s="1"/>
  <c r="J42" i="12"/>
  <c r="J43" i="12" s="1"/>
  <c r="K43" i="2"/>
  <c r="L18" i="6"/>
  <c r="L31" i="9"/>
  <c r="L28" i="10"/>
  <c r="L20" i="12"/>
  <c r="J54" i="2"/>
  <c r="L54" i="2" s="1"/>
  <c r="J46" i="2"/>
  <c r="J53" i="4"/>
  <c r="J37" i="4"/>
  <c r="J31" i="6"/>
  <c r="J35" i="7"/>
  <c r="J27" i="7"/>
  <c r="L27" i="7" s="1"/>
  <c r="J31" i="8"/>
  <c r="L31" i="8" s="1"/>
  <c r="J23" i="8"/>
  <c r="L23" i="8" s="1"/>
  <c r="J35" i="9"/>
  <c r="J27" i="9"/>
  <c r="J19" i="9"/>
  <c r="L19" i="9" s="1"/>
  <c r="J31" i="10"/>
  <c r="J23" i="10"/>
  <c r="J31" i="12"/>
  <c r="L31" i="12" s="1"/>
  <c r="J23" i="12"/>
  <c r="L23" i="12" s="1"/>
  <c r="K45" i="3"/>
  <c r="K29" i="6"/>
  <c r="L33" i="6"/>
  <c r="L19" i="7"/>
  <c r="K31" i="8"/>
  <c r="L35" i="8"/>
  <c r="L17" i="9"/>
  <c r="K28" i="10"/>
  <c r="L22" i="11"/>
  <c r="L30" i="11"/>
  <c r="J45" i="2"/>
  <c r="L45" i="2" s="1"/>
  <c r="J37" i="2"/>
  <c r="L37" i="2" s="1"/>
  <c r="J52" i="4"/>
  <c r="J44" i="4"/>
  <c r="J48" i="5"/>
  <c r="J22" i="6"/>
  <c r="J34" i="7"/>
  <c r="L34" i="7" s="1"/>
  <c r="J26" i="7"/>
  <c r="J18" i="7"/>
  <c r="J22" i="8"/>
  <c r="J34" i="9"/>
  <c r="L34" i="9" s="1"/>
  <c r="J26" i="9"/>
  <c r="J18" i="9"/>
  <c r="L18" i="9" s="1"/>
  <c r="J30" i="10"/>
  <c r="J22" i="10"/>
  <c r="J34" i="11"/>
  <c r="L34" i="11" s="1"/>
  <c r="J26" i="11"/>
  <c r="L26" i="11" s="1"/>
  <c r="J18" i="11"/>
  <c r="L18" i="11" s="1"/>
  <c r="J30" i="12"/>
  <c r="L30" i="12" s="1"/>
  <c r="J22" i="12"/>
  <c r="L54" i="4"/>
  <c r="L30" i="8"/>
  <c r="J25" i="6"/>
  <c r="L25" i="6" s="1"/>
  <c r="J33" i="10"/>
  <c r="L19" i="6"/>
  <c r="L23" i="6"/>
  <c r="K33" i="6"/>
  <c r="L23" i="7"/>
  <c r="K35" i="8"/>
  <c r="L21" i="9"/>
  <c r="K28" i="12"/>
  <c r="J51" i="4"/>
  <c r="J43" i="4"/>
  <c r="J44" i="5"/>
  <c r="J21" i="6"/>
  <c r="J33" i="7"/>
  <c r="L33" i="7" s="1"/>
  <c r="J25" i="7"/>
  <c r="L25" i="7" s="1"/>
  <c r="J17" i="7"/>
  <c r="J29" i="8"/>
  <c r="L29" i="8" s="1"/>
  <c r="J21" i="8"/>
  <c r="J25" i="9"/>
  <c r="J17" i="9"/>
  <c r="J29" i="10"/>
  <c r="J21" i="10"/>
  <c r="L21" i="10" s="1"/>
  <c r="J33" i="11"/>
  <c r="L33" i="11" s="1"/>
  <c r="J25" i="11"/>
  <c r="L25" i="11" s="1"/>
  <c r="J17" i="11"/>
  <c r="J29" i="12"/>
  <c r="J21" i="12"/>
  <c r="L21" i="12" s="1"/>
  <c r="F52" i="15"/>
  <c r="I52" i="15" s="1"/>
  <c r="L33" i="9"/>
  <c r="J29" i="7"/>
  <c r="J33" i="12"/>
  <c r="L33" i="12" s="1"/>
  <c r="L38" i="2"/>
  <c r="L45" i="4"/>
  <c r="L27" i="6"/>
  <c r="L30" i="6"/>
  <c r="L16" i="7"/>
  <c r="J51" i="2"/>
  <c r="J50" i="4"/>
  <c r="L50" i="4" s="1"/>
  <c r="J42" i="4"/>
  <c r="L42" i="4" s="1"/>
  <c r="J16" i="6"/>
  <c r="L16" i="6" s="1"/>
  <c r="J28" i="6"/>
  <c r="J20" i="6"/>
  <c r="J32" i="7"/>
  <c r="J16" i="8"/>
  <c r="J28" i="8"/>
  <c r="J20" i="8"/>
  <c r="L20" i="8" s="1"/>
  <c r="J32" i="9"/>
  <c r="L32" i="9" s="1"/>
  <c r="J24" i="9"/>
  <c r="L24" i="9" s="1"/>
  <c r="J28" i="10"/>
  <c r="J32" i="11"/>
  <c r="J24" i="11"/>
  <c r="J20" i="12"/>
  <c r="H11" i="15"/>
  <c r="H19" i="15"/>
  <c r="H27" i="15"/>
  <c r="H35" i="15"/>
  <c r="H44" i="15"/>
  <c r="H52" i="15"/>
  <c r="H32" i="15"/>
  <c r="H12" i="15"/>
  <c r="H20" i="15"/>
  <c r="H28" i="15"/>
  <c r="H36" i="15"/>
  <c r="H45" i="15"/>
  <c r="H53" i="15"/>
  <c r="H15" i="15"/>
  <c r="H48" i="15"/>
  <c r="H24" i="15"/>
  <c r="H49" i="15"/>
  <c r="H43" i="15"/>
  <c r="H6" i="15"/>
  <c r="H13" i="15"/>
  <c r="H21" i="15"/>
  <c r="H29" i="15"/>
  <c r="H38" i="15"/>
  <c r="H46" i="15"/>
  <c r="H54" i="15"/>
  <c r="H7" i="15"/>
  <c r="H40" i="15"/>
  <c r="H8" i="15"/>
  <c r="H26" i="15"/>
  <c r="H51" i="15"/>
  <c r="G58" i="15"/>
  <c r="B37" i="15" s="1"/>
  <c r="C37" i="15" s="1"/>
  <c r="F37" i="15" s="1"/>
  <c r="I37" i="15" s="1"/>
  <c r="F59" i="15" s="1"/>
  <c r="H14" i="15"/>
  <c r="H22" i="15"/>
  <c r="H30" i="15"/>
  <c r="H39" i="15"/>
  <c r="H47" i="15"/>
  <c r="H31" i="15"/>
  <c r="H23" i="15"/>
  <c r="H16" i="15"/>
  <c r="H41" i="15"/>
  <c r="H10" i="15"/>
  <c r="H9" i="15"/>
  <c r="H17" i="15"/>
  <c r="H25" i="15"/>
  <c r="H33" i="15"/>
  <c r="H42" i="15"/>
  <c r="H50" i="15"/>
  <c r="H18" i="15"/>
  <c r="H34" i="15"/>
  <c r="F48" i="15"/>
  <c r="I48" i="15" s="1"/>
  <c r="L37" i="5"/>
  <c r="J35" i="5"/>
  <c r="L35" i="5" s="1"/>
  <c r="J39" i="5"/>
  <c r="J54" i="5"/>
  <c r="J46" i="5"/>
  <c r="L46" i="5" s="1"/>
  <c r="J42" i="5"/>
  <c r="J38" i="5"/>
  <c r="L38" i="5" s="1"/>
  <c r="J53" i="5"/>
  <c r="L53" i="5" s="1"/>
  <c r="J49" i="5"/>
  <c r="L49" i="5" s="1"/>
  <c r="J45" i="5"/>
  <c r="L45" i="5" s="1"/>
  <c r="J41" i="5"/>
  <c r="J37" i="5"/>
  <c r="J52" i="5"/>
  <c r="L52" i="5" s="1"/>
  <c r="J40" i="5"/>
  <c r="J36" i="5"/>
  <c r="L36" i="5" s="1"/>
  <c r="J46" i="3"/>
  <c r="J42" i="3"/>
  <c r="L42" i="3" s="1"/>
  <c r="K44" i="3"/>
  <c r="J53" i="3"/>
  <c r="J49" i="3"/>
  <c r="L49" i="3" s="1"/>
  <c r="J37" i="3"/>
  <c r="L37" i="3" s="1"/>
  <c r="J48" i="3"/>
  <c r="J40" i="3"/>
  <c r="L45" i="3"/>
  <c r="L50" i="3"/>
  <c r="L52" i="3"/>
  <c r="L54" i="3"/>
  <c r="J35" i="3"/>
  <c r="J51" i="3"/>
  <c r="J47" i="3"/>
  <c r="J43" i="3"/>
  <c r="J39" i="3"/>
  <c r="L39" i="3" s="1"/>
  <c r="L41" i="3"/>
  <c r="L48" i="3"/>
  <c r="L36" i="3"/>
  <c r="L44" i="3"/>
  <c r="J38" i="3"/>
  <c r="L38" i="3" s="1"/>
  <c r="F15" i="15"/>
  <c r="I15" i="15" s="1"/>
  <c r="F19" i="15"/>
  <c r="I19" i="15" s="1"/>
  <c r="F23" i="15"/>
  <c r="I23" i="15" s="1"/>
  <c r="F27" i="15"/>
  <c r="I27" i="15" s="1"/>
  <c r="F28" i="15"/>
  <c r="I28" i="15" s="1"/>
  <c r="F29" i="15"/>
  <c r="I29" i="15" s="1"/>
  <c r="F30" i="15"/>
  <c r="I30" i="15" s="1"/>
  <c r="F31" i="15"/>
  <c r="I31" i="15" s="1"/>
  <c r="F33" i="15"/>
  <c r="I33" i="15" s="1"/>
  <c r="F34" i="15"/>
  <c r="I34" i="15" s="1"/>
  <c r="F35" i="15"/>
  <c r="I35" i="15" s="1"/>
  <c r="F36" i="15"/>
  <c r="I36" i="15" s="1"/>
  <c r="F38" i="15"/>
  <c r="I38" i="15" s="1"/>
  <c r="F39" i="15"/>
  <c r="I39" i="15" s="1"/>
  <c r="F42" i="15"/>
  <c r="I42" i="15" s="1"/>
  <c r="F46" i="15"/>
  <c r="I46" i="15" s="1"/>
  <c r="F50" i="15"/>
  <c r="I50" i="15" s="1"/>
  <c r="F54" i="15"/>
  <c r="I54" i="15" s="1"/>
  <c r="L24" i="12"/>
  <c r="L28" i="12"/>
  <c r="L32" i="12"/>
  <c r="L16" i="12"/>
  <c r="L32" i="10"/>
  <c r="L20" i="10"/>
  <c r="L24" i="10"/>
  <c r="L16" i="10"/>
  <c r="L36" i="2"/>
  <c r="L20" i="7"/>
  <c r="L24" i="7"/>
  <c r="L28" i="7"/>
  <c r="L51" i="5"/>
  <c r="L43" i="5"/>
  <c r="L47" i="5"/>
  <c r="L40" i="2"/>
  <c r="L44" i="2"/>
  <c r="L27" i="12"/>
  <c r="L17" i="12"/>
  <c r="L25" i="12"/>
  <c r="L29" i="12"/>
  <c r="K32" i="12"/>
  <c r="L35" i="12"/>
  <c r="K16" i="12"/>
  <c r="K20" i="12"/>
  <c r="K24" i="12"/>
  <c r="K18" i="12"/>
  <c r="K30" i="12"/>
  <c r="C50" i="12"/>
  <c r="C53" i="12" s="1"/>
  <c r="C54" i="12" s="1"/>
  <c r="L22" i="12"/>
  <c r="L26" i="12"/>
  <c r="L34" i="12"/>
  <c r="K30" i="11"/>
  <c r="L19" i="11"/>
  <c r="K22" i="11"/>
  <c r="K21" i="11"/>
  <c r="L17" i="11"/>
  <c r="K26" i="11"/>
  <c r="L29" i="11"/>
  <c r="K34" i="11"/>
  <c r="L23" i="11"/>
  <c r="L31" i="11"/>
  <c r="L27" i="11"/>
  <c r="L35" i="11"/>
  <c r="L16" i="11"/>
  <c r="L24" i="11"/>
  <c r="L28" i="11"/>
  <c r="L32" i="11"/>
  <c r="C50" i="11"/>
  <c r="C53" i="11" s="1"/>
  <c r="C54" i="11" s="1"/>
  <c r="K16" i="10"/>
  <c r="L23" i="10"/>
  <c r="L31" i="10"/>
  <c r="L35" i="10"/>
  <c r="L17" i="10"/>
  <c r="L25" i="10"/>
  <c r="L29" i="10"/>
  <c r="L33" i="10"/>
  <c r="K20" i="10"/>
  <c r="K36" i="10" s="1"/>
  <c r="C50" i="10"/>
  <c r="C53" i="10" s="1"/>
  <c r="C54" i="10" s="1"/>
  <c r="L18" i="10"/>
  <c r="L22" i="10"/>
  <c r="L26" i="10"/>
  <c r="L30" i="10"/>
  <c r="K17" i="9"/>
  <c r="K33" i="9"/>
  <c r="L29" i="9"/>
  <c r="L26" i="9"/>
  <c r="L35" i="9"/>
  <c r="L25" i="9"/>
  <c r="K19" i="9"/>
  <c r="L20" i="9"/>
  <c r="K23" i="9"/>
  <c r="K27" i="9"/>
  <c r="L28" i="9"/>
  <c r="K31" i="9"/>
  <c r="C50" i="9"/>
  <c r="C53" i="9" s="1"/>
  <c r="C54" i="9" s="1"/>
  <c r="L25" i="8"/>
  <c r="K26" i="8"/>
  <c r="L19" i="8"/>
  <c r="K30" i="8"/>
  <c r="L17" i="8"/>
  <c r="K18" i="8"/>
  <c r="L33" i="8"/>
  <c r="L21" i="8"/>
  <c r="K22" i="8"/>
  <c r="L27" i="8"/>
  <c r="K34" i="8"/>
  <c r="L16" i="8"/>
  <c r="L28" i="8"/>
  <c r="L32" i="8"/>
  <c r="C50" i="8"/>
  <c r="C53" i="8" s="1"/>
  <c r="C54" i="8" s="1"/>
  <c r="K16" i="7"/>
  <c r="K33" i="7"/>
  <c r="K25" i="7"/>
  <c r="K24" i="7"/>
  <c r="L29" i="7"/>
  <c r="L35" i="7"/>
  <c r="L17" i="7"/>
  <c r="K20" i="7"/>
  <c r="K28" i="7"/>
  <c r="K19" i="7"/>
  <c r="K23" i="7"/>
  <c r="L32" i="7"/>
  <c r="C50" i="7"/>
  <c r="C53" i="7" s="1"/>
  <c r="C54" i="7" s="1"/>
  <c r="L18" i="7"/>
  <c r="L22" i="7"/>
  <c r="L26" i="7"/>
  <c r="L30" i="7"/>
  <c r="K30" i="6"/>
  <c r="K18" i="6"/>
  <c r="K21" i="6"/>
  <c r="L22" i="6"/>
  <c r="L35" i="6"/>
  <c r="K19" i="6"/>
  <c r="L20" i="6"/>
  <c r="K23" i="6"/>
  <c r="L24" i="6"/>
  <c r="K27" i="6"/>
  <c r="L28" i="6"/>
  <c r="K31" i="6"/>
  <c r="L32" i="6"/>
  <c r="C50" i="6"/>
  <c r="C53" i="6" s="1"/>
  <c r="C54" i="6" s="1"/>
  <c r="K37" i="5"/>
  <c r="L40" i="5"/>
  <c r="L44" i="5"/>
  <c r="K47" i="5"/>
  <c r="K55" i="5" s="1"/>
  <c r="K51" i="5"/>
  <c r="L54" i="5"/>
  <c r="K43" i="5"/>
  <c r="L48" i="5"/>
  <c r="L42" i="5"/>
  <c r="L39" i="5"/>
  <c r="C69" i="5"/>
  <c r="C72" i="5" s="1"/>
  <c r="C73" i="5" s="1"/>
  <c r="L41" i="5"/>
  <c r="L37" i="4"/>
  <c r="K42" i="4"/>
  <c r="K45" i="4"/>
  <c r="L53" i="4"/>
  <c r="L38" i="4"/>
  <c r="L46" i="4"/>
  <c r="L41" i="4"/>
  <c r="L49" i="4"/>
  <c r="K54" i="4"/>
  <c r="L39" i="4"/>
  <c r="L43" i="4"/>
  <c r="L51" i="4"/>
  <c r="L47" i="4"/>
  <c r="L55" i="4"/>
  <c r="L36" i="4"/>
  <c r="L44" i="4"/>
  <c r="L48" i="4"/>
  <c r="L52" i="4"/>
  <c r="C70" i="4"/>
  <c r="C73" i="4" s="1"/>
  <c r="C74" i="4" s="1"/>
  <c r="K41" i="3"/>
  <c r="K36" i="3"/>
  <c r="L40" i="3"/>
  <c r="K49" i="3"/>
  <c r="K52" i="3"/>
  <c r="L53" i="3"/>
  <c r="L46" i="3"/>
  <c r="L35" i="3"/>
  <c r="K38" i="3"/>
  <c r="K42" i="3"/>
  <c r="L43" i="3"/>
  <c r="L47" i="3"/>
  <c r="K50" i="3"/>
  <c r="L51" i="3"/>
  <c r="K54" i="3"/>
  <c r="C69" i="3"/>
  <c r="C72" i="3" s="1"/>
  <c r="C73" i="3" s="1"/>
  <c r="K44" i="2"/>
  <c r="K40" i="2"/>
  <c r="L43" i="2"/>
  <c r="K49" i="2"/>
  <c r="L53" i="2"/>
  <c r="L51" i="2"/>
  <c r="K52" i="2"/>
  <c r="L41" i="2"/>
  <c r="K36" i="2"/>
  <c r="L39" i="2"/>
  <c r="K38" i="2"/>
  <c r="K42" i="2"/>
  <c r="C70" i="2"/>
  <c r="C73" i="2" s="1"/>
  <c r="C74" i="2" s="1"/>
  <c r="L46" i="2"/>
  <c r="L50" i="2"/>
  <c r="C67" i="1"/>
  <c r="C71" i="1" s="1"/>
  <c r="J64" i="1"/>
  <c r="J61" i="1" s="1"/>
  <c r="J62" i="1" s="1"/>
  <c r="D64" i="1"/>
  <c r="D63" i="1"/>
  <c r="D62" i="1"/>
  <c r="D61" i="1"/>
  <c r="D60" i="1"/>
  <c r="D59" i="1"/>
  <c r="D58" i="1"/>
  <c r="D57" i="1"/>
  <c r="D56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K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F12" i="1"/>
  <c r="F11" i="1"/>
  <c r="F9" i="1"/>
  <c r="F8" i="1"/>
  <c r="F7" i="1"/>
  <c r="F5" i="1"/>
  <c r="J8" i="15" l="1"/>
  <c r="P8" i="15" s="1"/>
  <c r="J17" i="15"/>
  <c r="P17" i="15" s="1"/>
  <c r="K56" i="4"/>
  <c r="J23" i="15"/>
  <c r="P23" i="15" s="1"/>
  <c r="J7" i="15"/>
  <c r="P7" i="15" s="1"/>
  <c r="J12" i="15"/>
  <c r="P12" i="15" s="1"/>
  <c r="J34" i="15"/>
  <c r="P34" i="15" s="1"/>
  <c r="J19" i="15"/>
  <c r="P19" i="15" s="1"/>
  <c r="J24" i="15"/>
  <c r="P24" i="15" s="1"/>
  <c r="J28" i="15"/>
  <c r="P28" i="15" s="1"/>
  <c r="J33" i="15"/>
  <c r="P33" i="15" s="1"/>
  <c r="J15" i="15"/>
  <c r="P15" i="15" s="1"/>
  <c r="J22" i="15"/>
  <c r="P22" i="15" s="1"/>
  <c r="J18" i="15"/>
  <c r="P18" i="15" s="1"/>
  <c r="J36" i="15"/>
  <c r="K36" i="11"/>
  <c r="K36" i="12"/>
  <c r="J31" i="15"/>
  <c r="P31" i="15" s="1"/>
  <c r="J13" i="15"/>
  <c r="P13" i="15" s="1"/>
  <c r="J10" i="15"/>
  <c r="P10" i="15" s="1"/>
  <c r="J30" i="15"/>
  <c r="P30" i="15" s="1"/>
  <c r="J25" i="15"/>
  <c r="P25" i="15" s="1"/>
  <c r="J9" i="15"/>
  <c r="P9" i="15" s="1"/>
  <c r="J16" i="15"/>
  <c r="P16" i="15" s="1"/>
  <c r="J21" i="15"/>
  <c r="P21" i="15" s="1"/>
  <c r="J26" i="15"/>
  <c r="P26" i="15" s="1"/>
  <c r="J27" i="15"/>
  <c r="P27" i="15" s="1"/>
  <c r="J11" i="15"/>
  <c r="P11" i="15" s="1"/>
  <c r="J20" i="15"/>
  <c r="P20" i="15" s="1"/>
  <c r="J35" i="15"/>
  <c r="P35" i="15" s="1"/>
  <c r="J29" i="15"/>
  <c r="P29" i="15" s="1"/>
  <c r="J32" i="15"/>
  <c r="P32" i="15" s="1"/>
  <c r="J6" i="15"/>
  <c r="J14" i="15"/>
  <c r="P14" i="15" s="1"/>
  <c r="K35" i="1"/>
  <c r="J35" i="1"/>
  <c r="J37" i="1"/>
  <c r="L37" i="1" s="1"/>
  <c r="K39" i="1"/>
  <c r="J39" i="1"/>
  <c r="L39" i="1" s="1"/>
  <c r="K43" i="1"/>
  <c r="J43" i="1"/>
  <c r="J45" i="1"/>
  <c r="L45" i="1" s="1"/>
  <c r="K47" i="1"/>
  <c r="J47" i="1"/>
  <c r="K49" i="1"/>
  <c r="J49" i="1"/>
  <c r="L49" i="1" s="1"/>
  <c r="K51" i="1"/>
  <c r="J51" i="1"/>
  <c r="L51" i="1" s="1"/>
  <c r="J53" i="1"/>
  <c r="L53" i="1" s="1"/>
  <c r="K36" i="1"/>
  <c r="J36" i="1"/>
  <c r="K38" i="1"/>
  <c r="J38" i="1"/>
  <c r="L38" i="1" s="1"/>
  <c r="J40" i="1"/>
  <c r="L40" i="1" s="1"/>
  <c r="K42" i="1"/>
  <c r="J42" i="1"/>
  <c r="L42" i="1" s="1"/>
  <c r="K44" i="1"/>
  <c r="J44" i="1"/>
  <c r="L44" i="1" s="1"/>
  <c r="K46" i="1"/>
  <c r="J46" i="1"/>
  <c r="J48" i="1"/>
  <c r="L48" i="1" s="1"/>
  <c r="K50" i="1"/>
  <c r="J50" i="1"/>
  <c r="L50" i="1" s="1"/>
  <c r="K52" i="1"/>
  <c r="J52" i="1"/>
  <c r="K54" i="1"/>
  <c r="J54" i="1"/>
  <c r="L54" i="1" s="1"/>
  <c r="L36" i="12"/>
  <c r="J38" i="12" s="1"/>
  <c r="L36" i="11"/>
  <c r="L36" i="10"/>
  <c r="K36" i="9"/>
  <c r="L36" i="9"/>
  <c r="K36" i="8"/>
  <c r="L36" i="8"/>
  <c r="L36" i="7"/>
  <c r="K36" i="7"/>
  <c r="K36" i="6"/>
  <c r="L36" i="6"/>
  <c r="L55" i="5"/>
  <c r="J57" i="5" s="1"/>
  <c r="B7" i="13" s="1"/>
  <c r="L56" i="4"/>
  <c r="K55" i="3"/>
  <c r="L55" i="3"/>
  <c r="J57" i="3" s="1"/>
  <c r="B5" i="13" s="1"/>
  <c r="K56" i="2"/>
  <c r="L56" i="2"/>
  <c r="L41" i="1"/>
  <c r="K40" i="1"/>
  <c r="K48" i="1"/>
  <c r="L52" i="1"/>
  <c r="K37" i="1"/>
  <c r="K45" i="1"/>
  <c r="K53" i="1"/>
  <c r="L36" i="1"/>
  <c r="L46" i="1"/>
  <c r="L35" i="1"/>
  <c r="L43" i="1"/>
  <c r="L47" i="1"/>
  <c r="C69" i="1"/>
  <c r="C72" i="1" s="1"/>
  <c r="C73" i="1" s="1"/>
  <c r="M8" i="15" l="1"/>
  <c r="P36" i="15"/>
  <c r="K36" i="15"/>
  <c r="L36" i="15" s="1"/>
  <c r="M6" i="15"/>
  <c r="P6" i="15"/>
  <c r="D68" i="4"/>
  <c r="J58" i="4"/>
  <c r="B6" i="13" s="1"/>
  <c r="M29" i="15"/>
  <c r="K29" i="15"/>
  <c r="M9" i="15"/>
  <c r="K9" i="15"/>
  <c r="M36" i="15"/>
  <c r="M34" i="15"/>
  <c r="K34" i="15"/>
  <c r="J38" i="6"/>
  <c r="B8" i="13" s="1"/>
  <c r="J38" i="10"/>
  <c r="B12" i="13" s="1"/>
  <c r="M35" i="15"/>
  <c r="K35" i="15"/>
  <c r="M25" i="15"/>
  <c r="K25" i="15"/>
  <c r="K18" i="15"/>
  <c r="M18" i="15"/>
  <c r="M12" i="15"/>
  <c r="K12" i="15"/>
  <c r="J38" i="9"/>
  <c r="B11" i="13" s="1"/>
  <c r="M32" i="15"/>
  <c r="K32" i="15"/>
  <c r="M22" i="15"/>
  <c r="K22" i="15"/>
  <c r="J58" i="2"/>
  <c r="B4" i="13" s="1"/>
  <c r="B14" i="13"/>
  <c r="D48" i="12"/>
  <c r="D50" i="12" s="1"/>
  <c r="M11" i="15"/>
  <c r="K11" i="15"/>
  <c r="M10" i="15"/>
  <c r="K10" i="15"/>
  <c r="K15" i="15"/>
  <c r="M15" i="15"/>
  <c r="K23" i="15"/>
  <c r="M23" i="15"/>
  <c r="M30" i="15"/>
  <c r="K30" i="15"/>
  <c r="M27" i="15"/>
  <c r="K27" i="15"/>
  <c r="M13" i="15"/>
  <c r="K13" i="15"/>
  <c r="M33" i="15"/>
  <c r="K33" i="15"/>
  <c r="M20" i="15"/>
  <c r="K20" i="15"/>
  <c r="M14" i="15"/>
  <c r="K14" i="15"/>
  <c r="K26" i="15"/>
  <c r="M26" i="15"/>
  <c r="K31" i="15"/>
  <c r="M31" i="15"/>
  <c r="M28" i="15"/>
  <c r="K28" i="15"/>
  <c r="M17" i="15"/>
  <c r="K17" i="15"/>
  <c r="J38" i="11"/>
  <c r="B13" i="13" s="1"/>
  <c r="M7" i="15"/>
  <c r="K7" i="15"/>
  <c r="J38" i="7"/>
  <c r="B9" i="13" s="1"/>
  <c r="J38" i="8"/>
  <c r="B10" i="13" s="1"/>
  <c r="M21" i="15"/>
  <c r="K21" i="15"/>
  <c r="M24" i="15"/>
  <c r="K24" i="15"/>
  <c r="K8" i="15"/>
  <c r="K16" i="15"/>
  <c r="M16" i="15"/>
  <c r="M19" i="15"/>
  <c r="K19" i="15"/>
  <c r="D67" i="5"/>
  <c r="D71" i="5" s="1"/>
  <c r="D67" i="3"/>
  <c r="D52" i="12"/>
  <c r="D53" i="12" s="1"/>
  <c r="D54" i="12" s="1"/>
  <c r="D72" i="4"/>
  <c r="D70" i="4"/>
  <c r="K55" i="1"/>
  <c r="L55" i="1"/>
  <c r="J57" i="1" s="1"/>
  <c r="B3" i="13" s="1"/>
  <c r="D48" i="9" l="1"/>
  <c r="D48" i="11"/>
  <c r="D68" i="2"/>
  <c r="D48" i="10"/>
  <c r="D69" i="5"/>
  <c r="D48" i="8"/>
  <c r="D48" i="6"/>
  <c r="L35" i="15"/>
  <c r="B15" i="13"/>
  <c r="B19" i="13" s="1"/>
  <c r="D48" i="7"/>
  <c r="D69" i="3"/>
  <c r="D71" i="3"/>
  <c r="D67" i="1"/>
  <c r="D71" i="1" s="1"/>
  <c r="K6" i="15"/>
  <c r="D72" i="3"/>
  <c r="D73" i="3" s="1"/>
  <c r="D72" i="5"/>
  <c r="D73" i="5" s="1"/>
  <c r="D73" i="4"/>
  <c r="D74" i="4" s="1"/>
  <c r="D52" i="10" l="1"/>
  <c r="D50" i="10"/>
  <c r="D72" i="2"/>
  <c r="D70" i="2"/>
  <c r="D73" i="2" s="1"/>
  <c r="D74" i="2" s="1"/>
  <c r="D52" i="6"/>
  <c r="D50" i="6"/>
  <c r="D50" i="8"/>
  <c r="D52" i="8"/>
  <c r="D53" i="8" s="1"/>
  <c r="D54" i="8" s="1"/>
  <c r="D52" i="7"/>
  <c r="D50" i="7"/>
  <c r="D52" i="11"/>
  <c r="D50" i="11"/>
  <c r="L34" i="15"/>
  <c r="N34" i="15" s="1"/>
  <c r="D50" i="9"/>
  <c r="D52" i="9"/>
  <c r="D53" i="9" s="1"/>
  <c r="D54" i="9" s="1"/>
  <c r="D69" i="1"/>
  <c r="B23" i="13"/>
  <c r="B21" i="13"/>
  <c r="D72" i="1"/>
  <c r="D73" i="1" s="1"/>
  <c r="L33" i="15" l="1"/>
  <c r="N33" i="15" s="1"/>
  <c r="D53" i="11"/>
  <c r="D54" i="11" s="1"/>
  <c r="D53" i="6"/>
  <c r="D54" i="6" s="1"/>
  <c r="D53" i="7"/>
  <c r="D54" i="7" s="1"/>
  <c r="D53" i="10"/>
  <c r="D54" i="10" s="1"/>
  <c r="B24" i="13"/>
  <c r="B25" i="13" s="1"/>
  <c r="L32" i="15" l="1"/>
  <c r="L31" i="15" l="1"/>
  <c r="N32" i="15"/>
  <c r="L30" i="15" l="1"/>
  <c r="N31" i="15"/>
  <c r="L29" i="15" l="1"/>
  <c r="N30" i="15"/>
  <c r="L28" i="15" l="1"/>
  <c r="L27" i="15" s="1"/>
  <c r="L26" i="15" s="1"/>
  <c r="L25" i="15" s="1"/>
  <c r="L24" i="15" s="1"/>
  <c r="L23" i="15" s="1"/>
  <c r="L22" i="15" s="1"/>
  <c r="L21" i="15" s="1"/>
  <c r="L20" i="15" s="1"/>
  <c r="L19" i="15" s="1"/>
  <c r="L18" i="15" s="1"/>
  <c r="L17" i="15" s="1"/>
  <c r="L16" i="15" s="1"/>
  <c r="L15" i="15" s="1"/>
  <c r="L14" i="15" s="1"/>
  <c r="L13" i="15" s="1"/>
  <c r="L12" i="15" s="1"/>
  <c r="N29" i="15"/>
  <c r="L11" i="15" l="1"/>
  <c r="N12" i="15"/>
  <c r="N13" i="15"/>
  <c r="N14" i="15"/>
  <c r="L10" i="15" l="1"/>
  <c r="N11" i="15"/>
  <c r="N15" i="15"/>
  <c r="L9" i="15" l="1"/>
  <c r="N10" i="15"/>
  <c r="N16" i="15"/>
  <c r="L8" i="15" l="1"/>
  <c r="N9" i="15"/>
  <c r="N17" i="15"/>
  <c r="L7" i="15" l="1"/>
  <c r="N8" i="15"/>
  <c r="N18" i="15"/>
  <c r="L6" i="15" l="1"/>
  <c r="N7" i="15"/>
  <c r="N19" i="15"/>
  <c r="R3" i="15" l="1"/>
  <c r="N6" i="15"/>
  <c r="R6" i="15" s="1"/>
  <c r="N20" i="15"/>
  <c r="N21" i="15" l="1"/>
  <c r="N22" i="15" l="1"/>
  <c r="N23" i="15" l="1"/>
  <c r="N24" i="15" l="1"/>
  <c r="N25" i="15" l="1"/>
  <c r="N26" i="15" l="1"/>
  <c r="N27" i="15" l="1"/>
  <c r="N28" i="15"/>
  <c r="Q28" i="15" s="1"/>
</calcChain>
</file>

<file path=xl/sharedStrings.xml><?xml version="1.0" encoding="utf-8"?>
<sst xmlns="http://schemas.openxmlformats.org/spreadsheetml/2006/main" count="754" uniqueCount="99">
  <si>
    <t>Pengukuran konsentrasi sedimen layang di S. Ciberang, Bendungan Karian</t>
  </si>
  <si>
    <t>No. Contoh</t>
  </si>
  <si>
    <t>Tgl.</t>
  </si>
  <si>
    <t>Jam</t>
  </si>
  <si>
    <t>Qw (m3/dt)</t>
  </si>
  <si>
    <t>Kadar Sedimen (mg/l)</t>
  </si>
  <si>
    <t>Qs (Ton/hr)</t>
  </si>
  <si>
    <t>Sedimen yang masuk ke waduk Karian 1975 - 2004</t>
  </si>
  <si>
    <t>Load Interval Flow Duration</t>
  </si>
  <si>
    <t>Urutan</t>
  </si>
  <si>
    <t>Debit aliran (m3/detik)</t>
  </si>
  <si>
    <t>prosentase waktu sama atau lebih besar dari</t>
  </si>
  <si>
    <t>Batas</t>
  </si>
  <si>
    <t>Interval</t>
  </si>
  <si>
    <t>Nilai Tengah</t>
  </si>
  <si>
    <t>Debit sedimen (ton/hari)</t>
  </si>
  <si>
    <t>Total Qw</t>
  </si>
  <si>
    <t>Total Qs</t>
  </si>
  <si>
    <t xml:space="preserve"> 0,00 - 0,02</t>
  </si>
  <si>
    <t xml:space="preserve"> 0,02 - 0,1</t>
  </si>
  <si>
    <t>0,1 - 0,5</t>
  </si>
  <si>
    <t>0.5 - 0,75</t>
  </si>
  <si>
    <t xml:space="preserve"> 0,75 - 1,5</t>
  </si>
  <si>
    <t xml:space="preserve"> 1,5 - 5,0</t>
  </si>
  <si>
    <t xml:space="preserve"> 5,0 - 15</t>
  </si>
  <si>
    <t xml:space="preserve"> 15 - 25</t>
  </si>
  <si>
    <t xml:space="preserve"> 25 - 35</t>
  </si>
  <si>
    <t xml:space="preserve"> 35 - 45</t>
  </si>
  <si>
    <t>45 - 55</t>
  </si>
  <si>
    <t>55 - 65</t>
  </si>
  <si>
    <t xml:space="preserve"> 65 - 75</t>
  </si>
  <si>
    <t xml:space="preserve"> 75 - 85</t>
  </si>
  <si>
    <t xml:space="preserve"> 85 - 95</t>
  </si>
  <si>
    <t>95 - 98,5</t>
  </si>
  <si>
    <t>98,5 - 99,5</t>
  </si>
  <si>
    <t>99,5 - 99,9</t>
  </si>
  <si>
    <t>99,9 - 99,98</t>
  </si>
  <si>
    <t>99,98 - 100</t>
  </si>
  <si>
    <t>Jumlah</t>
  </si>
  <si>
    <t>Trap efficiency</t>
  </si>
  <si>
    <t>C</t>
  </si>
  <si>
    <t>kapasitas waduk (m3)</t>
  </si>
  <si>
    <t>I</t>
  </si>
  <si>
    <t>Inflow (m3)</t>
  </si>
  <si>
    <t>Sedimen layang (ton/tahun)</t>
  </si>
  <si>
    <t>Prosentase muatan dasar terhadap muatan layang</t>
  </si>
  <si>
    <t>Muatan dasar</t>
  </si>
  <si>
    <t>Trap Efficiency</t>
  </si>
  <si>
    <t>Sediment layang yang mengendap di waduk (ton/tahun)</t>
  </si>
  <si>
    <t>Total sedimen yang mengendap (ton/tahun)</t>
  </si>
  <si>
    <t>Volume sedimen untuk 50 tahun (m3)</t>
  </si>
  <si>
    <t>Berat jenis (ton/m3)</t>
  </si>
  <si>
    <t>Q = 2.6637 * x^1.721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</si>
  <si>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</si>
  <si>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</si>
  <si>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</si>
  <si>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</si>
  <si>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</si>
  <si>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</si>
  <si>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</si>
  <si>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</si>
  <si>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</si>
  <si>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</si>
  <si>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</si>
  <si>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</si>
  <si>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Qs</t>
  </si>
  <si>
    <t>Kurva</t>
  </si>
  <si>
    <t>No</t>
  </si>
  <si>
    <t>Elevasi</t>
  </si>
  <si>
    <t>Kedalaman (H)</t>
  </si>
  <si>
    <t>Luas (Ah)</t>
  </si>
  <si>
    <t>Kapasitas (Vh)</t>
  </si>
  <si>
    <t>Sedimen Mengendap 1997-2018 (S) Juta m3</t>
  </si>
  <si>
    <t>F</t>
  </si>
  <si>
    <t>Luas Relatif</t>
  </si>
  <si>
    <t>Luas Terdistribusi</t>
  </si>
  <si>
    <t>Penambahan Volume</t>
  </si>
  <si>
    <t>Vol Kumulatif</t>
  </si>
  <si>
    <t>Luas Revisi</t>
  </si>
  <si>
    <t>Vol Revisi</t>
  </si>
  <si>
    <t>Bentuk Waduk (Morris and Fan, 1997)</t>
  </si>
  <si>
    <t>II</t>
  </si>
  <si>
    <t>Dataran - Kaki Bukit</t>
  </si>
  <si>
    <t>m</t>
  </si>
  <si>
    <t>juta m2</t>
  </si>
  <si>
    <t>juta m3</t>
  </si>
  <si>
    <t>Sistem Operasi Waduk (Morris and fan, 1997)</t>
  </si>
  <si>
    <t>I atau II</t>
  </si>
  <si>
    <t>Sedimen terendam di waduk</t>
  </si>
  <si>
    <t>Ukuran Butiran Sedimen (Morris and Fan, 1997)</t>
  </si>
  <si>
    <t>Pasir atau material kasar</t>
  </si>
  <si>
    <t>Kedalaman nol baru</t>
  </si>
  <si>
    <t>Luas Terkoreksi</t>
  </si>
  <si>
    <t>Data debit yang digunakan tahun 2009</t>
  </si>
  <si>
    <t>F/S study</t>
  </si>
  <si>
    <t>Qs (ton/bulan)</t>
  </si>
  <si>
    <t xml:space="preserve">Total </t>
  </si>
  <si>
    <t>Bulan</t>
  </si>
  <si>
    <t>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</si>
</sst>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0"/>
    <numFmt numFmtId="167" formatCode="_-* #,##0.00_-;\-* #,##0.00_-;_-* &quot;-&quot;_-;_-@_-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horizontal="center" wrapText="1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0" fillId="0" borderId="0" xfId="1" applyFont="1"/>
    <xf numFmtId="0" fontId="0" fillId="2" borderId="0" xfId="0" applyFill="1"/>
    <xf numFmtId="0" fontId="3" fillId="0" borderId="0" xfId="0" applyFont="1" applyFill="1" applyBorder="1" applyAlignment="1">
      <alignment horizontal="center" wrapText="1"/>
    </xf>
    <xf numFmtId="2" fontId="5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top"/>
    </xf>
    <xf numFmtId="167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/>
    <xf numFmtId="0" fontId="0" fillId="0" borderId="0" xfId="0" applyAlignment="1">
      <alignment horizontal="center"/>
    </xf>
    <xf numFmtId="0" fontId="7" fillId="0" borderId="0" xfId="0" applyFont="1"/>
    <xf numFmtId="167" fontId="5" fillId="0" borderId="0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0" fillId="0" borderId="0" xfId="1" applyNumberFormat="1" applyFont="1"/>
    <xf numFmtId="165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/>
    <xf numFmtId="43" fontId="0" fillId="0" borderId="13" xfId="0" applyNumberFormat="1" applyBorder="1"/>
    <xf numFmtId="0" fontId="0" fillId="0" borderId="1" xfId="0" applyBorder="1" applyAlignment="1">
      <alignment horizontal="center" wrapText="1"/>
    </xf>
    <xf numFmtId="43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166" fontId="0" fillId="0" borderId="1" xfId="0" applyNumberFormat="1" applyFill="1" applyBorder="1" applyAlignment="1">
      <alignment horizontal="center" wrapText="1"/>
    </xf>
    <xf numFmtId="2" fontId="0" fillId="0" borderId="0" xfId="0" applyNumberFormat="1" applyFill="1"/>
    <xf numFmtId="43" fontId="0" fillId="0" borderId="13" xfId="0" applyNumberFormat="1" applyFill="1" applyBorder="1"/>
    <xf numFmtId="0" fontId="0" fillId="0" borderId="1" xfId="0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65" fontId="0" fillId="0" borderId="0" xfId="0" applyNumberFormat="1"/>
    <xf numFmtId="166" fontId="9" fillId="0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7" fontId="0" fillId="0" borderId="1" xfId="1" applyNumberFormat="1" applyFont="1" applyBorder="1"/>
    <xf numFmtId="0" fontId="0" fillId="0" borderId="1" xfId="0" applyFill="1" applyBorder="1" applyAlignment="1">
      <alignment horizontal="center" vertical="center"/>
    </xf>
    <xf numFmtId="168" fontId="0" fillId="0" borderId="0" xfId="0" applyNumberFormat="1"/>
    <xf numFmtId="10" fontId="10" fillId="0" borderId="0" xfId="2" applyNumberFormat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0" xfId="2" applyNumberFormat="1" applyFont="1"/>
    <xf numFmtId="0" fontId="0" fillId="0" borderId="0" xfId="0" applyBorder="1" applyAlignment="1">
      <alignment horizontal="center" vertical="center" wrapText="1"/>
    </xf>
    <xf numFmtId="43" fontId="0" fillId="0" borderId="0" xfId="0" applyNumberFormat="1" applyBorder="1"/>
    <xf numFmtId="43" fontId="0" fillId="0" borderId="0" xfId="0" applyNumberFormat="1" applyFill="1" applyBorder="1"/>
    <xf numFmtId="43" fontId="0" fillId="3" borderId="0" xfId="0" applyNumberFormat="1" applyFill="1" applyBorder="1"/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6" fontId="8" fillId="4" borderId="1" xfId="0" applyNumberFormat="1" applyFont="1" applyFill="1" applyBorder="1" applyAlignment="1">
      <alignment horizontal="center" wrapText="1"/>
    </xf>
    <xf numFmtId="0" fontId="0" fillId="4" borderId="1" xfId="0" applyFill="1" applyBorder="1"/>
    <xf numFmtId="166" fontId="0" fillId="4" borderId="1" xfId="0" applyNumberFormat="1" applyFill="1" applyBorder="1"/>
    <xf numFmtId="43" fontId="0" fillId="4" borderId="1" xfId="0" applyNumberFormat="1" applyFill="1" applyBorder="1"/>
    <xf numFmtId="43" fontId="0" fillId="4" borderId="13" xfId="0" applyNumberFormat="1" applyFill="1" applyBorder="1"/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166" fontId="0" fillId="4" borderId="1" xfId="0" applyNumberFormat="1" applyFont="1" applyFill="1" applyBorder="1"/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166" fontId="8" fillId="4" borderId="15" xfId="0" applyNumberFormat="1" applyFont="1" applyFill="1" applyBorder="1" applyAlignment="1">
      <alignment horizontal="center" wrapText="1"/>
    </xf>
    <xf numFmtId="0" fontId="0" fillId="4" borderId="15" xfId="0" applyFill="1" applyBorder="1"/>
    <xf numFmtId="43" fontId="0" fillId="4" borderId="0" xfId="0" applyNumberFormat="1" applyFill="1" applyBorder="1"/>
    <xf numFmtId="166" fontId="9" fillId="4" borderId="1" xfId="0" applyNumberFormat="1" applyFont="1" applyFill="1" applyBorder="1"/>
    <xf numFmtId="43" fontId="9" fillId="4" borderId="13" xfId="0" applyNumberFormat="1" applyFont="1" applyFill="1" applyBorder="1"/>
    <xf numFmtId="0" fontId="9" fillId="4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/>
    <xf numFmtId="43" fontId="9" fillId="4" borderId="1" xfId="0" applyNumberFormat="1" applyFont="1" applyFill="1" applyBorder="1"/>
    <xf numFmtId="0" fontId="0" fillId="5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66" fontId="8" fillId="5" borderId="1" xfId="0" applyNumberFormat="1" applyFont="1" applyFill="1" applyBorder="1" applyAlignment="1">
      <alignment horizontal="center" wrapText="1"/>
    </xf>
    <xf numFmtId="0" fontId="0" fillId="5" borderId="1" xfId="0" applyFill="1" applyBorder="1"/>
    <xf numFmtId="166" fontId="0" fillId="5" borderId="1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/>
    <xf numFmtId="43" fontId="0" fillId="5" borderId="0" xfId="0" applyNumberFormat="1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2" fontId="0" fillId="5" borderId="1" xfId="0" applyNumberFormat="1" applyFill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Jan!$D$5:$D$29</c:f>
              <c:numCache>
                <c:formatCode>General</c:formatCode>
                <c:ptCount val="25"/>
                <c:pt idx="0">
                  <c:v>120.9</c:v>
                </c:pt>
                <c:pt idx="1">
                  <c:v>27.6</c:v>
                </c:pt>
                <c:pt idx="2">
                  <c:v>23.14</c:v>
                </c:pt>
                <c:pt idx="3">
                  <c:v>17.46</c:v>
                </c:pt>
                <c:pt idx="4">
                  <c:v>26.99</c:v>
                </c:pt>
                <c:pt idx="5">
                  <c:v>30.09</c:v>
                </c:pt>
                <c:pt idx="6">
                  <c:v>19.100000000000001</c:v>
                </c:pt>
                <c:pt idx="7">
                  <c:v>3.7</c:v>
                </c:pt>
                <c:pt idx="8">
                  <c:v>3.5</c:v>
                </c:pt>
                <c:pt idx="9">
                  <c:v>12.5</c:v>
                </c:pt>
                <c:pt idx="10">
                  <c:v>13.5</c:v>
                </c:pt>
                <c:pt idx="11">
                  <c:v>17</c:v>
                </c:pt>
                <c:pt idx="12">
                  <c:v>17.2</c:v>
                </c:pt>
                <c:pt idx="13">
                  <c:v>20.5</c:v>
                </c:pt>
                <c:pt idx="14">
                  <c:v>22</c:v>
                </c:pt>
                <c:pt idx="15">
                  <c:v>32</c:v>
                </c:pt>
                <c:pt idx="16">
                  <c:v>6.88</c:v>
                </c:pt>
                <c:pt idx="17">
                  <c:v>7.11</c:v>
                </c:pt>
                <c:pt idx="18">
                  <c:v>2.81</c:v>
                </c:pt>
                <c:pt idx="19">
                  <c:v>2.67</c:v>
                </c:pt>
                <c:pt idx="20">
                  <c:v>6.88</c:v>
                </c:pt>
                <c:pt idx="21">
                  <c:v>1.82</c:v>
                </c:pt>
                <c:pt idx="22">
                  <c:v>1.61</c:v>
                </c:pt>
                <c:pt idx="23">
                  <c:v>3.19</c:v>
                </c:pt>
                <c:pt idx="24">
                  <c:v>3.71</c:v>
                </c:pt>
              </c:numCache>
            </c:numRef>
          </c:xVal>
          <c:yVal>
            <c:numRef>
              <c:f>Jan!$F$5:$F$29</c:f>
              <c:numCache>
                <c:formatCode>0.000</c:formatCode>
                <c:ptCount val="25"/>
                <c:pt idx="0">
                  <c:v>7614.9590400000016</c:v>
                </c:pt>
                <c:pt idx="1">
                  <c:v>2181.9456</c:v>
                </c:pt>
                <c:pt idx="2">
                  <c:v>207.92678400000003</c:v>
                </c:pt>
                <c:pt idx="3">
                  <c:v>312.26860800000003</c:v>
                </c:pt>
                <c:pt idx="4">
                  <c:v>195.88262399999999</c:v>
                </c:pt>
                <c:pt idx="5">
                  <c:v>197.58297600000003</c:v>
                </c:pt>
                <c:pt idx="6">
                  <c:v>514.87488000000008</c:v>
                </c:pt>
                <c:pt idx="7">
                  <c:v>53.706240000000001</c:v>
                </c:pt>
                <c:pt idx="8">
                  <c:v>47.476799999999997</c:v>
                </c:pt>
                <c:pt idx="9">
                  <c:v>520</c:v>
                </c:pt>
                <c:pt idx="10">
                  <c:v>220</c:v>
                </c:pt>
                <c:pt idx="11">
                  <c:v>1100</c:v>
                </c:pt>
                <c:pt idx="12">
                  <c:v>1010</c:v>
                </c:pt>
                <c:pt idx="13">
                  <c:v>540</c:v>
                </c:pt>
                <c:pt idx="14">
                  <c:v>540</c:v>
                </c:pt>
                <c:pt idx="15">
                  <c:v>3600</c:v>
                </c:pt>
                <c:pt idx="16">
                  <c:v>27.938304000000002</c:v>
                </c:pt>
                <c:pt idx="17">
                  <c:v>44.844192000000007</c:v>
                </c:pt>
                <c:pt idx="18">
                  <c:v>10.439712000000002</c:v>
                </c:pt>
                <c:pt idx="19">
                  <c:v>10.842336</c:v>
                </c:pt>
                <c:pt idx="20">
                  <c:v>64.793088000000012</c:v>
                </c:pt>
                <c:pt idx="21">
                  <c:v>4.4029440000000006</c:v>
                </c:pt>
                <c:pt idx="22">
                  <c:v>5.7032639999999999</c:v>
                </c:pt>
                <c:pt idx="23">
                  <c:v>13.780800000000001</c:v>
                </c:pt>
                <c:pt idx="24">
                  <c:v>48.722687999999998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355136"/>
        <c:axId val="317357056"/>
      </c:scatterChart>
      <c:valAx>
        <c:axId val="31735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357056"/>
        <c:crossesAt val="0"/>
        <c:crossBetween val="midCat"/>
      </c:valAx>
      <c:valAx>
        <c:axId val="317357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35513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Okt!$D$5:$D$11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Okt!$F$5:$F$11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057344"/>
        <c:axId val="346080000"/>
      </c:scatterChart>
      <c:valAx>
        <c:axId val="34605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080000"/>
        <c:crossesAt val="0"/>
        <c:crossBetween val="midCat"/>
      </c:valAx>
      <c:valAx>
        <c:axId val="3460800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05734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Nov!$D$5:$D$11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Nov!$F$5:$F$11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141440"/>
        <c:axId val="350151808"/>
      </c:scatterChart>
      <c:valAx>
        <c:axId val="35014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51808"/>
        <c:crossesAt val="0"/>
        <c:crossBetween val="midCat"/>
      </c:valAx>
      <c:valAx>
        <c:axId val="350151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4144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Des!$D$5:$D$11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Des!$F$5:$F$11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776704"/>
        <c:axId val="350799360"/>
      </c:scatterChart>
      <c:valAx>
        <c:axId val="35077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99360"/>
        <c:crossesAt val="0"/>
        <c:crossBetween val="midCat"/>
      </c:valAx>
      <c:valAx>
        <c:axId val="350799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7670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Lengkung</a:t>
            </a:r>
            <a:r>
              <a:rPr lang="en-US" baseline="0"/>
              <a:t> Kapasitas-Luas Waduk Karian T0 dan T50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Vol T0</c:v>
          </c:tx>
          <c:xVal>
            <c:numRef>
              <c:f>'Distribusi Sedimen'!$E$6:$E$55</c:f>
              <c:numCache>
                <c:formatCode>General</c:formatCode>
                <c:ptCount val="50"/>
                <c:pt idx="0">
                  <c:v>253.88</c:v>
                </c:pt>
                <c:pt idx="1">
                  <c:v>245.97</c:v>
                </c:pt>
                <c:pt idx="2">
                  <c:v>230.56</c:v>
                </c:pt>
                <c:pt idx="3">
                  <c:v>215.84</c:v>
                </c:pt>
                <c:pt idx="4">
                  <c:v>201.75</c:v>
                </c:pt>
                <c:pt idx="5">
                  <c:v>188.29</c:v>
                </c:pt>
                <c:pt idx="6">
                  <c:v>175.46</c:v>
                </c:pt>
                <c:pt idx="7">
                  <c:v>163.37</c:v>
                </c:pt>
                <c:pt idx="8">
                  <c:v>152.11000000000001</c:v>
                </c:pt>
                <c:pt idx="9">
                  <c:v>141.47999999999999</c:v>
                </c:pt>
                <c:pt idx="10">
                  <c:v>131.32</c:v>
                </c:pt>
                <c:pt idx="11">
                  <c:v>121.64</c:v>
                </c:pt>
                <c:pt idx="12">
                  <c:v>112.45</c:v>
                </c:pt>
                <c:pt idx="13">
                  <c:v>103.77</c:v>
                </c:pt>
                <c:pt idx="14">
                  <c:v>95.58</c:v>
                </c:pt>
                <c:pt idx="15">
                  <c:v>87.87</c:v>
                </c:pt>
                <c:pt idx="16">
                  <c:v>80.67</c:v>
                </c:pt>
                <c:pt idx="17">
                  <c:v>74</c:v>
                </c:pt>
                <c:pt idx="18">
                  <c:v>67.77</c:v>
                </c:pt>
                <c:pt idx="19">
                  <c:v>61.93</c:v>
                </c:pt>
                <c:pt idx="20">
                  <c:v>56.44</c:v>
                </c:pt>
                <c:pt idx="21">
                  <c:v>51.26</c:v>
                </c:pt>
                <c:pt idx="22">
                  <c:v>46.4</c:v>
                </c:pt>
                <c:pt idx="23">
                  <c:v>41.84</c:v>
                </c:pt>
                <c:pt idx="24">
                  <c:v>37.56</c:v>
                </c:pt>
                <c:pt idx="25">
                  <c:v>33.54</c:v>
                </c:pt>
                <c:pt idx="26">
                  <c:v>29.8</c:v>
                </c:pt>
                <c:pt idx="27">
                  <c:v>26.33</c:v>
                </c:pt>
                <c:pt idx="28">
                  <c:v>23.13</c:v>
                </c:pt>
                <c:pt idx="29">
                  <c:v>20.21</c:v>
                </c:pt>
                <c:pt idx="30">
                  <c:v>17.559999999999999</c:v>
                </c:pt>
                <c:pt idx="31">
                  <c:v>15.59</c:v>
                </c:pt>
                <c:pt idx="32">
                  <c:v>15.17</c:v>
                </c:pt>
                <c:pt idx="33">
                  <c:v>12.96</c:v>
                </c:pt>
                <c:pt idx="34">
                  <c:v>10.95</c:v>
                </c:pt>
                <c:pt idx="35">
                  <c:v>9.1199999999999992</c:v>
                </c:pt>
                <c:pt idx="36">
                  <c:v>7.47</c:v>
                </c:pt>
                <c:pt idx="37">
                  <c:v>5.98</c:v>
                </c:pt>
                <c:pt idx="38">
                  <c:v>4.6900000000000004</c:v>
                </c:pt>
                <c:pt idx="39">
                  <c:v>3.6</c:v>
                </c:pt>
                <c:pt idx="40">
                  <c:v>2.72</c:v>
                </c:pt>
                <c:pt idx="41">
                  <c:v>2.02</c:v>
                </c:pt>
                <c:pt idx="42">
                  <c:v>1.45</c:v>
                </c:pt>
                <c:pt idx="43">
                  <c:v>1</c:v>
                </c:pt>
                <c:pt idx="44">
                  <c:v>0.66</c:v>
                </c:pt>
                <c:pt idx="45">
                  <c:v>0.41</c:v>
                </c:pt>
                <c:pt idx="46">
                  <c:v>0.22</c:v>
                </c:pt>
                <c:pt idx="47">
                  <c:v>0.09</c:v>
                </c:pt>
                <c:pt idx="48">
                  <c:v>0.02</c:v>
                </c:pt>
                <c:pt idx="49">
                  <c:v>0</c:v>
                </c:pt>
              </c:numCache>
            </c:numRef>
          </c:xVal>
          <c:yVal>
            <c:numRef>
              <c:f>'Distribusi Sedimen'!$B$6:$B$55</c:f>
              <c:numCache>
                <c:formatCode>General</c:formatCode>
                <c:ptCount val="50"/>
                <c:pt idx="0">
                  <c:v>67.5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60</c:v>
                </c:pt>
                <c:pt idx="9">
                  <c:v>59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46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41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 formatCode="0.00">
                  <c:v>37.195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30-436C-B3E5-018865C13130}"/>
            </c:ext>
          </c:extLst>
        </c:ser>
        <c:ser>
          <c:idx val="1"/>
          <c:order val="1"/>
          <c:xVal>
            <c:numRef>
              <c:f>'Distribusi Sedimen'!$N$6:$N$32</c:f>
              <c:numCache>
                <c:formatCode>_(* #,##0.00_);_(* \(#,##0.00\);_(* "-"??_);_(@_)</c:formatCode>
                <c:ptCount val="27"/>
                <c:pt idx="0">
                  <c:v>167.18791861009373</c:v>
                </c:pt>
                <c:pt idx="1">
                  <c:v>159.47819034598416</c:v>
                </c:pt>
                <c:pt idx="2">
                  <c:v>145.08952502537448</c:v>
                </c:pt>
                <c:pt idx="3">
                  <c:v>131.74621339260781</c:v>
                </c:pt>
                <c:pt idx="4">
                  <c:v>119.26877767690733</c:v>
                </c:pt>
                <c:pt idx="5">
                  <c:v>107.60272691086791</c:v>
                </c:pt>
                <c:pt idx="6">
                  <c:v>96.714109039029168</c:v>
                </c:pt>
                <c:pt idx="7">
                  <c:v>86.688823292624718</c:v>
                </c:pt>
                <c:pt idx="8">
                  <c:v>77.598422062848528</c:v>
                </c:pt>
                <c:pt idx="9">
                  <c:v>69.228060627590324</c:v>
                </c:pt>
                <c:pt idx="10">
                  <c:v>61.405356081867609</c:v>
                </c:pt>
                <c:pt idx="11">
                  <c:v>54.129693206700892</c:v>
                </c:pt>
                <c:pt idx="12">
                  <c:v>47.401773762043192</c:v>
                </c:pt>
                <c:pt idx="13">
                  <c:v>41.233308733472633</c:v>
                </c:pt>
                <c:pt idx="14">
                  <c:v>35.596799531065621</c:v>
                </c:pt>
                <c:pt idx="15">
                  <c:v>30.475377131899911</c:v>
                </c:pt>
                <c:pt idx="16">
                  <c:v>25.892680388183599</c:v>
                </c:pt>
                <c:pt idx="17">
                  <c:v>21.86276161810224</c:v>
                </c:pt>
                <c:pt idx="18">
                  <c:v>18.290011673669191</c:v>
                </c:pt>
                <c:pt idx="19">
                  <c:v>15.119099188478735</c:v>
                </c:pt>
                <c:pt idx="20">
                  <c:v>12.304920303897262</c:v>
                </c:pt>
                <c:pt idx="21">
                  <c:v>9.8025562154796049</c:v>
                </c:pt>
                <c:pt idx="22">
                  <c:v>7.6172365786528289</c:v>
                </c:pt>
                <c:pt idx="23">
                  <c:v>5.7243072861203999</c:v>
                </c:pt>
                <c:pt idx="24">
                  <c:v>4.0992014532840741</c:v>
                </c:pt>
                <c:pt idx="25">
                  <c:v>2.717412668305812</c:v>
                </c:pt>
                <c:pt idx="26">
                  <c:v>1.5944697089749518</c:v>
                </c:pt>
              </c:numCache>
            </c:numRef>
          </c:xVal>
          <c:yVal>
            <c:numRef>
              <c:f>'Distribusi Sedimen'!$B$6:$B$38</c:f>
              <c:numCache>
                <c:formatCode>General</c:formatCode>
                <c:ptCount val="33"/>
                <c:pt idx="0">
                  <c:v>67.5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60</c:v>
                </c:pt>
                <c:pt idx="9">
                  <c:v>59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46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41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 formatCode="0.00">
                  <c:v>37.195</c:v>
                </c:pt>
                <c:pt idx="32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30-436C-B3E5-018865C1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394112"/>
        <c:axId val="316356096"/>
      </c:scatterChart>
      <c:scatterChart>
        <c:scatterStyle val="smoothMarker"/>
        <c:varyColors val="0"/>
        <c:ser>
          <c:idx val="2"/>
          <c:order val="2"/>
          <c:tx>
            <c:v>Luas T0</c:v>
          </c:tx>
          <c:xVal>
            <c:numRef>
              <c:f>'Distribusi Sedimen'!$D$6:$D$55</c:f>
              <c:numCache>
                <c:formatCode>General</c:formatCode>
                <c:ptCount val="50"/>
                <c:pt idx="0">
                  <c:v>15.93</c:v>
                </c:pt>
                <c:pt idx="1">
                  <c:v>15.74</c:v>
                </c:pt>
                <c:pt idx="2">
                  <c:v>15.07</c:v>
                </c:pt>
                <c:pt idx="3">
                  <c:v>14.38</c:v>
                </c:pt>
                <c:pt idx="4">
                  <c:v>13.79</c:v>
                </c:pt>
                <c:pt idx="5">
                  <c:v>13.14</c:v>
                </c:pt>
                <c:pt idx="6">
                  <c:v>12.52</c:v>
                </c:pt>
                <c:pt idx="7">
                  <c:v>11.66</c:v>
                </c:pt>
                <c:pt idx="8">
                  <c:v>10.86</c:v>
                </c:pt>
                <c:pt idx="9">
                  <c:v>10.4</c:v>
                </c:pt>
                <c:pt idx="10">
                  <c:v>9.92</c:v>
                </c:pt>
                <c:pt idx="11">
                  <c:v>9.44</c:v>
                </c:pt>
                <c:pt idx="12">
                  <c:v>8.93</c:v>
                </c:pt>
                <c:pt idx="13">
                  <c:v>8.43</c:v>
                </c:pt>
                <c:pt idx="14">
                  <c:v>7.94</c:v>
                </c:pt>
                <c:pt idx="15">
                  <c:v>7.48</c:v>
                </c:pt>
                <c:pt idx="16">
                  <c:v>6.93</c:v>
                </c:pt>
                <c:pt idx="17">
                  <c:v>6.41</c:v>
                </c:pt>
                <c:pt idx="18">
                  <c:v>6.04</c:v>
                </c:pt>
                <c:pt idx="19">
                  <c:v>5.65</c:v>
                </c:pt>
                <c:pt idx="20">
                  <c:v>5.34</c:v>
                </c:pt>
                <c:pt idx="21">
                  <c:v>5.01</c:v>
                </c:pt>
                <c:pt idx="22">
                  <c:v>4.71</c:v>
                </c:pt>
                <c:pt idx="23">
                  <c:v>4.41</c:v>
                </c:pt>
                <c:pt idx="24">
                  <c:v>4.1500000000000004</c:v>
                </c:pt>
                <c:pt idx="25">
                  <c:v>3.88</c:v>
                </c:pt>
                <c:pt idx="26">
                  <c:v>3.61</c:v>
                </c:pt>
                <c:pt idx="27">
                  <c:v>3.34</c:v>
                </c:pt>
                <c:pt idx="28">
                  <c:v>3.06</c:v>
                </c:pt>
                <c:pt idx="29">
                  <c:v>2.78</c:v>
                </c:pt>
                <c:pt idx="30">
                  <c:v>2.52</c:v>
                </c:pt>
                <c:pt idx="31">
                  <c:v>2.4300000000000002</c:v>
                </c:pt>
                <c:pt idx="32">
                  <c:v>2.3199999999999998</c:v>
                </c:pt>
                <c:pt idx="33">
                  <c:v>2.11</c:v>
                </c:pt>
                <c:pt idx="34">
                  <c:v>1.91</c:v>
                </c:pt>
                <c:pt idx="35">
                  <c:v>1.74</c:v>
                </c:pt>
                <c:pt idx="36">
                  <c:v>1.57</c:v>
                </c:pt>
                <c:pt idx="37">
                  <c:v>1.4</c:v>
                </c:pt>
                <c:pt idx="38">
                  <c:v>1.19</c:v>
                </c:pt>
                <c:pt idx="39">
                  <c:v>0.98</c:v>
                </c:pt>
                <c:pt idx="40">
                  <c:v>0.78</c:v>
                </c:pt>
                <c:pt idx="41">
                  <c:v>0.63</c:v>
                </c:pt>
                <c:pt idx="42">
                  <c:v>0.51</c:v>
                </c:pt>
                <c:pt idx="43">
                  <c:v>0.39</c:v>
                </c:pt>
                <c:pt idx="44">
                  <c:v>0.28000000000000003</c:v>
                </c:pt>
                <c:pt idx="45">
                  <c:v>0.22</c:v>
                </c:pt>
                <c:pt idx="46">
                  <c:v>0.16</c:v>
                </c:pt>
                <c:pt idx="47">
                  <c:v>0.1</c:v>
                </c:pt>
                <c:pt idx="48">
                  <c:v>0.04</c:v>
                </c:pt>
                <c:pt idx="49">
                  <c:v>0</c:v>
                </c:pt>
              </c:numCache>
            </c:numRef>
          </c:xVal>
          <c:yVal>
            <c:numRef>
              <c:f>'Distribusi Sedimen'!$B$6:$B$55</c:f>
              <c:numCache>
                <c:formatCode>General</c:formatCode>
                <c:ptCount val="50"/>
                <c:pt idx="0">
                  <c:v>67.5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60</c:v>
                </c:pt>
                <c:pt idx="9">
                  <c:v>59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46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41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 formatCode="0.00">
                  <c:v>37.195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30-436C-B3E5-018865C13130}"/>
            </c:ext>
          </c:extLst>
        </c:ser>
        <c:ser>
          <c:idx val="3"/>
          <c:order val="3"/>
          <c:tx>
            <c:v>Luas T50</c:v>
          </c:tx>
          <c:xVal>
            <c:numRef>
              <c:f>'Distribusi Sedimen'!$M$6:$M$38</c:f>
              <c:numCache>
                <c:formatCode>0.000</c:formatCode>
                <c:ptCount val="33"/>
                <c:pt idx="0">
                  <c:v>15.93</c:v>
                </c:pt>
                <c:pt idx="1">
                  <c:v>14.93891305643823</c:v>
                </c:pt>
                <c:pt idx="2">
                  <c:v>13.828417584781143</c:v>
                </c:pt>
                <c:pt idx="3">
                  <c:v>12.868205680752197</c:v>
                </c:pt>
                <c:pt idx="4">
                  <c:v>12.076665750648758</c:v>
                </c:pt>
                <c:pt idx="5">
                  <c:v>11.265435781430055</c:v>
                </c:pt>
                <c:pt idx="6">
                  <c:v>10.511799962247466</c:v>
                </c:pt>
                <c:pt idx="7">
                  <c:v>9.5387715305614265</c:v>
                </c:pt>
                <c:pt idx="8">
                  <c:v>8.6420309289909678</c:v>
                </c:pt>
                <c:pt idx="9">
                  <c:v>8.0986919415253826</c:v>
                </c:pt>
                <c:pt idx="10">
                  <c:v>7.5467171499200427</c:v>
                </c:pt>
                <c:pt idx="11">
                  <c:v>7.0046086004134152</c:v>
                </c:pt>
                <c:pt idx="12">
                  <c:v>6.4412302889019815</c:v>
                </c:pt>
                <c:pt idx="13">
                  <c:v>5.8956997682391332</c:v>
                </c:pt>
                <c:pt idx="14">
                  <c:v>5.3673186365748906</c:v>
                </c:pt>
                <c:pt idx="15">
                  <c:v>4.8755261617565449</c:v>
                </c:pt>
                <c:pt idx="16">
                  <c:v>4.29986732567607</c:v>
                </c:pt>
                <c:pt idx="17">
                  <c:v>3.7599702144866396</c:v>
                </c:pt>
                <c:pt idx="18">
                  <c:v>3.3755296743794512</c:v>
                </c:pt>
                <c:pt idx="19">
                  <c:v>2.9762952960014748</c:v>
                </c:pt>
                <c:pt idx="20">
                  <c:v>2.6620624731614608</c:v>
                </c:pt>
                <c:pt idx="21">
                  <c:v>2.3326657036738512</c:v>
                </c:pt>
                <c:pt idx="22">
                  <c:v>2.0379735699796999</c:v>
                </c:pt>
                <c:pt idx="23">
                  <c:v>1.7478850150851688</c:v>
                </c:pt>
                <c:pt idx="24">
                  <c:v>1.5023266505874804</c:v>
                </c:pt>
                <c:pt idx="25">
                  <c:v>1.2512509193690415</c:v>
                </c:pt>
                <c:pt idx="26">
                  <c:v>1.0046349992926822</c:v>
                </c:pt>
                <c:pt idx="27">
                  <c:v>0.76248038478105906</c:v>
                </c:pt>
                <c:pt idx="28">
                  <c:v>0.51481312686537439</c:v>
                </c:pt>
                <c:pt idx="29">
                  <c:v>0.27168475428406058</c:v>
                </c:pt>
                <c:pt idx="30">
                  <c:v>5.317394339811532E-2</c:v>
                </c:pt>
                <c:pt idx="31">
                  <c:v>0</c:v>
                </c:pt>
                <c:pt idx="32">
                  <c:v>0</c:v>
                </c:pt>
              </c:numCache>
            </c:numRef>
          </c:xVal>
          <c:yVal>
            <c:numRef>
              <c:f>'Distribusi Sedimen'!$B$6:$B$38</c:f>
              <c:numCache>
                <c:formatCode>General</c:formatCode>
                <c:ptCount val="33"/>
                <c:pt idx="0">
                  <c:v>67.5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60</c:v>
                </c:pt>
                <c:pt idx="9">
                  <c:v>59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46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41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 formatCode="0.00">
                  <c:v>37.195</c:v>
                </c:pt>
                <c:pt idx="32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30-436C-B3E5-018865C1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529792"/>
        <c:axId val="351970432"/>
      </c:scatterChart>
      <c:valAx>
        <c:axId val="316394112"/>
        <c:scaling>
          <c:orientation val="minMax"/>
          <c:max val="26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(juta m3)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6356096"/>
        <c:crosses val="autoZero"/>
        <c:crossBetween val="midCat"/>
      </c:valAx>
      <c:valAx>
        <c:axId val="316356096"/>
        <c:scaling>
          <c:orientation val="minMax"/>
          <c:max val="70"/>
          <c:min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Elevasi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6394112"/>
        <c:crosses val="autoZero"/>
        <c:crossBetween val="midCat"/>
      </c:valAx>
      <c:valAx>
        <c:axId val="351970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2529792"/>
        <c:crosses val="max"/>
        <c:crossBetween val="midCat"/>
      </c:valAx>
      <c:valAx>
        <c:axId val="352529792"/>
        <c:scaling>
          <c:orientation val="maxMin"/>
          <c:max val="16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Luas (juta m2)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197043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Dasar Waduk Mula-mula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'Distribusi Sedimen'!$D$6:$D$55</c:f>
              <c:numCache>
                <c:formatCode>General</c:formatCode>
                <c:ptCount val="50"/>
                <c:pt idx="0">
                  <c:v>15.93</c:v>
                </c:pt>
                <c:pt idx="1">
                  <c:v>15.74</c:v>
                </c:pt>
                <c:pt idx="2">
                  <c:v>15.07</c:v>
                </c:pt>
                <c:pt idx="3">
                  <c:v>14.38</c:v>
                </c:pt>
                <c:pt idx="4">
                  <c:v>13.79</c:v>
                </c:pt>
                <c:pt idx="5">
                  <c:v>13.14</c:v>
                </c:pt>
                <c:pt idx="6">
                  <c:v>12.52</c:v>
                </c:pt>
                <c:pt idx="7">
                  <c:v>11.66</c:v>
                </c:pt>
                <c:pt idx="8">
                  <c:v>10.86</c:v>
                </c:pt>
                <c:pt idx="9">
                  <c:v>10.4</c:v>
                </c:pt>
                <c:pt idx="10">
                  <c:v>9.92</c:v>
                </c:pt>
                <c:pt idx="11">
                  <c:v>9.44</c:v>
                </c:pt>
                <c:pt idx="12">
                  <c:v>8.93</c:v>
                </c:pt>
                <c:pt idx="13">
                  <c:v>8.43</c:v>
                </c:pt>
                <c:pt idx="14">
                  <c:v>7.94</c:v>
                </c:pt>
                <c:pt idx="15">
                  <c:v>7.48</c:v>
                </c:pt>
                <c:pt idx="16">
                  <c:v>6.93</c:v>
                </c:pt>
                <c:pt idx="17">
                  <c:v>6.41</c:v>
                </c:pt>
                <c:pt idx="18">
                  <c:v>6.04</c:v>
                </c:pt>
                <c:pt idx="19">
                  <c:v>5.65</c:v>
                </c:pt>
                <c:pt idx="20">
                  <c:v>5.34</c:v>
                </c:pt>
                <c:pt idx="21">
                  <c:v>5.01</c:v>
                </c:pt>
                <c:pt idx="22">
                  <c:v>4.71</c:v>
                </c:pt>
                <c:pt idx="23">
                  <c:v>4.41</c:v>
                </c:pt>
                <c:pt idx="24">
                  <c:v>4.1500000000000004</c:v>
                </c:pt>
                <c:pt idx="25">
                  <c:v>3.88</c:v>
                </c:pt>
                <c:pt idx="26">
                  <c:v>3.61</c:v>
                </c:pt>
                <c:pt idx="27">
                  <c:v>3.34</c:v>
                </c:pt>
                <c:pt idx="28">
                  <c:v>3.06</c:v>
                </c:pt>
                <c:pt idx="29">
                  <c:v>2.78</c:v>
                </c:pt>
                <c:pt idx="30">
                  <c:v>2.52</c:v>
                </c:pt>
                <c:pt idx="31">
                  <c:v>2.4300000000000002</c:v>
                </c:pt>
                <c:pt idx="32">
                  <c:v>2.3199999999999998</c:v>
                </c:pt>
                <c:pt idx="33">
                  <c:v>2.11</c:v>
                </c:pt>
                <c:pt idx="34">
                  <c:v>1.91</c:v>
                </c:pt>
                <c:pt idx="35">
                  <c:v>1.74</c:v>
                </c:pt>
                <c:pt idx="36">
                  <c:v>1.57</c:v>
                </c:pt>
                <c:pt idx="37">
                  <c:v>1.4</c:v>
                </c:pt>
                <c:pt idx="38">
                  <c:v>1.19</c:v>
                </c:pt>
                <c:pt idx="39">
                  <c:v>0.98</c:v>
                </c:pt>
                <c:pt idx="40">
                  <c:v>0.78</c:v>
                </c:pt>
                <c:pt idx="41">
                  <c:v>0.63</c:v>
                </c:pt>
                <c:pt idx="42">
                  <c:v>0.51</c:v>
                </c:pt>
                <c:pt idx="43">
                  <c:v>0.39</c:v>
                </c:pt>
                <c:pt idx="44">
                  <c:v>0.28000000000000003</c:v>
                </c:pt>
                <c:pt idx="45">
                  <c:v>0.22</c:v>
                </c:pt>
                <c:pt idx="46">
                  <c:v>0.16</c:v>
                </c:pt>
                <c:pt idx="47">
                  <c:v>0.1</c:v>
                </c:pt>
                <c:pt idx="48">
                  <c:v>0.04</c:v>
                </c:pt>
                <c:pt idx="49">
                  <c:v>0</c:v>
                </c:pt>
              </c:numCache>
            </c:numRef>
          </c:xVal>
          <c:yVal>
            <c:numRef>
              <c:f>'Distribusi Sedimen'!$B$6:$B$55</c:f>
              <c:numCache>
                <c:formatCode>General</c:formatCode>
                <c:ptCount val="50"/>
                <c:pt idx="0">
                  <c:v>67.5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60</c:v>
                </c:pt>
                <c:pt idx="9">
                  <c:v>59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46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41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 formatCode="0.00">
                  <c:v>37.195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B7-46F2-8937-902C27261B52}"/>
            </c:ext>
          </c:extLst>
        </c:ser>
        <c:ser>
          <c:idx val="1"/>
          <c:order val="1"/>
          <c:tx>
            <c:v>Dasar Waduk Baru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'Distribusi Sedimen'!$P$6:$P$55</c:f>
              <c:numCache>
                <c:formatCode>_(* #,##0.00_);_(* \(#,##0.00\);_(* "-"??_);_(@_)</c:formatCode>
                <c:ptCount val="50"/>
                <c:pt idx="0">
                  <c:v>15.93</c:v>
                </c:pt>
                <c:pt idx="1">
                  <c:v>14.93891305643823</c:v>
                </c:pt>
                <c:pt idx="2">
                  <c:v>13.828417584781143</c:v>
                </c:pt>
                <c:pt idx="3">
                  <c:v>12.868205680752197</c:v>
                </c:pt>
                <c:pt idx="4">
                  <c:v>12.076665750648758</c:v>
                </c:pt>
                <c:pt idx="5">
                  <c:v>11.265435781430055</c:v>
                </c:pt>
                <c:pt idx="6">
                  <c:v>10.511799962247466</c:v>
                </c:pt>
                <c:pt idx="7">
                  <c:v>9.5387715305614265</c:v>
                </c:pt>
                <c:pt idx="8">
                  <c:v>8.6420309289909678</c:v>
                </c:pt>
                <c:pt idx="9">
                  <c:v>8.0986919415253826</c:v>
                </c:pt>
                <c:pt idx="10">
                  <c:v>7.5467171499200427</c:v>
                </c:pt>
                <c:pt idx="11">
                  <c:v>7.0046086004134152</c:v>
                </c:pt>
                <c:pt idx="12">
                  <c:v>6.4412302889019815</c:v>
                </c:pt>
                <c:pt idx="13">
                  <c:v>5.8956997682391332</c:v>
                </c:pt>
                <c:pt idx="14">
                  <c:v>5.3673186365748906</c:v>
                </c:pt>
                <c:pt idx="15">
                  <c:v>4.8755261617565449</c:v>
                </c:pt>
                <c:pt idx="16">
                  <c:v>4.29986732567607</c:v>
                </c:pt>
                <c:pt idx="17">
                  <c:v>3.7599702144866396</c:v>
                </c:pt>
                <c:pt idx="18">
                  <c:v>3.3755296743794512</c:v>
                </c:pt>
                <c:pt idx="19">
                  <c:v>2.9762952960014748</c:v>
                </c:pt>
                <c:pt idx="20">
                  <c:v>2.6620624731614608</c:v>
                </c:pt>
                <c:pt idx="21">
                  <c:v>2.3326657036738512</c:v>
                </c:pt>
                <c:pt idx="22">
                  <c:v>2.0379735699796999</c:v>
                </c:pt>
                <c:pt idx="23">
                  <c:v>1.7478850150851688</c:v>
                </c:pt>
                <c:pt idx="24">
                  <c:v>1.5023266505874804</c:v>
                </c:pt>
                <c:pt idx="25">
                  <c:v>1.2512509193690415</c:v>
                </c:pt>
                <c:pt idx="26">
                  <c:v>1.0046349992926822</c:v>
                </c:pt>
                <c:pt idx="27">
                  <c:v>0.76248038478105906</c:v>
                </c:pt>
                <c:pt idx="28">
                  <c:v>0.51481312686537439</c:v>
                </c:pt>
                <c:pt idx="29">
                  <c:v>0.27168475428406058</c:v>
                </c:pt>
                <c:pt idx="30">
                  <c:v>5.317394339811532E-2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xVal>
          <c:yVal>
            <c:numRef>
              <c:f>'Distribusi Sedimen'!$B$6:$B$55</c:f>
              <c:numCache>
                <c:formatCode>General</c:formatCode>
                <c:ptCount val="50"/>
                <c:pt idx="0">
                  <c:v>67.5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60</c:v>
                </c:pt>
                <c:pt idx="9">
                  <c:v>59</c:v>
                </c:pt>
                <c:pt idx="10">
                  <c:v>58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46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41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 formatCode="0.00">
                  <c:v>37.195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B7-46F2-8937-902C2726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16504"/>
        <c:axId val="647414536"/>
      </c:scatterChart>
      <c:valAx>
        <c:axId val="647414536"/>
        <c:scaling>
          <c:orientation val="minMax"/>
          <c:min val="2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16504"/>
        <c:crosses val="max"/>
        <c:crossBetween val="midCat"/>
        <c:majorUnit val="1"/>
      </c:valAx>
      <c:valAx>
        <c:axId val="647416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414536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Feb!$D$5:$D$29</c:f>
              <c:numCache>
                <c:formatCode>General</c:formatCode>
                <c:ptCount val="25"/>
                <c:pt idx="0">
                  <c:v>120.9</c:v>
                </c:pt>
                <c:pt idx="1">
                  <c:v>27.6</c:v>
                </c:pt>
                <c:pt idx="2">
                  <c:v>23.14</c:v>
                </c:pt>
                <c:pt idx="3">
                  <c:v>17.46</c:v>
                </c:pt>
                <c:pt idx="4">
                  <c:v>26.99</c:v>
                </c:pt>
                <c:pt idx="5">
                  <c:v>30.09</c:v>
                </c:pt>
                <c:pt idx="6">
                  <c:v>19.100000000000001</c:v>
                </c:pt>
                <c:pt idx="7">
                  <c:v>3.7</c:v>
                </c:pt>
                <c:pt idx="8">
                  <c:v>3.5</c:v>
                </c:pt>
                <c:pt idx="9">
                  <c:v>12.5</c:v>
                </c:pt>
                <c:pt idx="10">
                  <c:v>13.5</c:v>
                </c:pt>
                <c:pt idx="11">
                  <c:v>17</c:v>
                </c:pt>
                <c:pt idx="12">
                  <c:v>17.2</c:v>
                </c:pt>
                <c:pt idx="13">
                  <c:v>20.5</c:v>
                </c:pt>
                <c:pt idx="14">
                  <c:v>22</c:v>
                </c:pt>
                <c:pt idx="15">
                  <c:v>32</c:v>
                </c:pt>
                <c:pt idx="16">
                  <c:v>6.88</c:v>
                </c:pt>
                <c:pt idx="17">
                  <c:v>7.11</c:v>
                </c:pt>
                <c:pt idx="18">
                  <c:v>2.81</c:v>
                </c:pt>
                <c:pt idx="19">
                  <c:v>2.67</c:v>
                </c:pt>
                <c:pt idx="20">
                  <c:v>6.88</c:v>
                </c:pt>
                <c:pt idx="21">
                  <c:v>1.82</c:v>
                </c:pt>
                <c:pt idx="22">
                  <c:v>1.61</c:v>
                </c:pt>
                <c:pt idx="23">
                  <c:v>3.19</c:v>
                </c:pt>
                <c:pt idx="24">
                  <c:v>3.71</c:v>
                </c:pt>
              </c:numCache>
            </c:numRef>
          </c:xVal>
          <c:yVal>
            <c:numRef>
              <c:f>Feb!$F$5:$F$29</c:f>
              <c:numCache>
                <c:formatCode>0.000</c:formatCode>
                <c:ptCount val="25"/>
                <c:pt idx="0">
                  <c:v>7614.9590400000016</c:v>
                </c:pt>
                <c:pt idx="1">
                  <c:v>2181.9456</c:v>
                </c:pt>
                <c:pt idx="2">
                  <c:v>207.92678400000003</c:v>
                </c:pt>
                <c:pt idx="3">
                  <c:v>312.26860800000003</c:v>
                </c:pt>
                <c:pt idx="4">
                  <c:v>195.88262399999999</c:v>
                </c:pt>
                <c:pt idx="5">
                  <c:v>197.58297600000003</c:v>
                </c:pt>
                <c:pt idx="6">
                  <c:v>514.87488000000008</c:v>
                </c:pt>
                <c:pt idx="7">
                  <c:v>53.706240000000001</c:v>
                </c:pt>
                <c:pt idx="8">
                  <c:v>47.476799999999997</c:v>
                </c:pt>
                <c:pt idx="9">
                  <c:v>520</c:v>
                </c:pt>
                <c:pt idx="10">
                  <c:v>220</c:v>
                </c:pt>
                <c:pt idx="11">
                  <c:v>1100</c:v>
                </c:pt>
                <c:pt idx="12">
                  <c:v>1010</c:v>
                </c:pt>
                <c:pt idx="13">
                  <c:v>540</c:v>
                </c:pt>
                <c:pt idx="14">
                  <c:v>540</c:v>
                </c:pt>
                <c:pt idx="15">
                  <c:v>3600</c:v>
                </c:pt>
                <c:pt idx="16">
                  <c:v>27.938304000000002</c:v>
                </c:pt>
                <c:pt idx="17">
                  <c:v>44.844192000000007</c:v>
                </c:pt>
                <c:pt idx="18">
                  <c:v>10.439712000000002</c:v>
                </c:pt>
                <c:pt idx="19">
                  <c:v>10.842336</c:v>
                </c:pt>
                <c:pt idx="20">
                  <c:v>64.793088000000012</c:v>
                </c:pt>
                <c:pt idx="21">
                  <c:v>4.4029440000000006</c:v>
                </c:pt>
                <c:pt idx="22">
                  <c:v>5.7032639999999999</c:v>
                </c:pt>
                <c:pt idx="23">
                  <c:v>13.780800000000001</c:v>
                </c:pt>
                <c:pt idx="24">
                  <c:v>48.722687999999998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693376"/>
        <c:axId val="358995456"/>
      </c:scatterChart>
      <c:valAx>
        <c:axId val="32469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995456"/>
        <c:crossesAt val="0"/>
        <c:crossBetween val="midCat"/>
      </c:valAx>
      <c:valAx>
        <c:axId val="358995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69337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Mar!$D$5:$D$29</c:f>
              <c:numCache>
                <c:formatCode>General</c:formatCode>
                <c:ptCount val="25"/>
                <c:pt idx="0">
                  <c:v>120.9</c:v>
                </c:pt>
                <c:pt idx="1">
                  <c:v>27.6</c:v>
                </c:pt>
                <c:pt idx="2">
                  <c:v>23.14</c:v>
                </c:pt>
                <c:pt idx="3">
                  <c:v>17.46</c:v>
                </c:pt>
                <c:pt idx="4">
                  <c:v>26.99</c:v>
                </c:pt>
                <c:pt idx="5">
                  <c:v>30.09</c:v>
                </c:pt>
                <c:pt idx="6">
                  <c:v>19.100000000000001</c:v>
                </c:pt>
                <c:pt idx="7">
                  <c:v>3.7</c:v>
                </c:pt>
                <c:pt idx="8">
                  <c:v>3.5</c:v>
                </c:pt>
                <c:pt idx="9">
                  <c:v>12.5</c:v>
                </c:pt>
                <c:pt idx="10">
                  <c:v>13.5</c:v>
                </c:pt>
                <c:pt idx="11">
                  <c:v>17</c:v>
                </c:pt>
                <c:pt idx="12">
                  <c:v>17.2</c:v>
                </c:pt>
                <c:pt idx="13">
                  <c:v>20.5</c:v>
                </c:pt>
                <c:pt idx="14">
                  <c:v>22</c:v>
                </c:pt>
                <c:pt idx="15">
                  <c:v>32</c:v>
                </c:pt>
                <c:pt idx="16">
                  <c:v>6.88</c:v>
                </c:pt>
                <c:pt idx="17">
                  <c:v>7.11</c:v>
                </c:pt>
                <c:pt idx="18">
                  <c:v>2.81</c:v>
                </c:pt>
                <c:pt idx="19">
                  <c:v>2.67</c:v>
                </c:pt>
                <c:pt idx="20">
                  <c:v>6.88</c:v>
                </c:pt>
                <c:pt idx="21">
                  <c:v>1.82</c:v>
                </c:pt>
                <c:pt idx="22">
                  <c:v>1.61</c:v>
                </c:pt>
                <c:pt idx="23">
                  <c:v>3.19</c:v>
                </c:pt>
                <c:pt idx="24">
                  <c:v>3.71</c:v>
                </c:pt>
              </c:numCache>
            </c:numRef>
          </c:xVal>
          <c:yVal>
            <c:numRef>
              <c:f>Mar!$F$5:$F$29</c:f>
              <c:numCache>
                <c:formatCode>0.000</c:formatCode>
                <c:ptCount val="25"/>
                <c:pt idx="0">
                  <c:v>7614.9590400000016</c:v>
                </c:pt>
                <c:pt idx="1">
                  <c:v>2181.9456</c:v>
                </c:pt>
                <c:pt idx="2">
                  <c:v>207.92678400000003</c:v>
                </c:pt>
                <c:pt idx="3">
                  <c:v>312.26860800000003</c:v>
                </c:pt>
                <c:pt idx="4">
                  <c:v>195.88262399999999</c:v>
                </c:pt>
                <c:pt idx="5">
                  <c:v>197.58297600000003</c:v>
                </c:pt>
                <c:pt idx="6">
                  <c:v>514.87488000000008</c:v>
                </c:pt>
                <c:pt idx="7">
                  <c:v>53.706240000000001</c:v>
                </c:pt>
                <c:pt idx="8">
                  <c:v>47.476799999999997</c:v>
                </c:pt>
                <c:pt idx="9">
                  <c:v>520</c:v>
                </c:pt>
                <c:pt idx="10">
                  <c:v>220</c:v>
                </c:pt>
                <c:pt idx="11">
                  <c:v>1100</c:v>
                </c:pt>
                <c:pt idx="12">
                  <c:v>1010</c:v>
                </c:pt>
                <c:pt idx="13">
                  <c:v>540</c:v>
                </c:pt>
                <c:pt idx="14">
                  <c:v>540</c:v>
                </c:pt>
                <c:pt idx="15">
                  <c:v>3600</c:v>
                </c:pt>
                <c:pt idx="16">
                  <c:v>27.938304000000002</c:v>
                </c:pt>
                <c:pt idx="17">
                  <c:v>44.844192000000007</c:v>
                </c:pt>
                <c:pt idx="18">
                  <c:v>10.439712000000002</c:v>
                </c:pt>
                <c:pt idx="19">
                  <c:v>10.842336</c:v>
                </c:pt>
                <c:pt idx="20">
                  <c:v>64.793088000000012</c:v>
                </c:pt>
                <c:pt idx="21">
                  <c:v>4.4029440000000006</c:v>
                </c:pt>
                <c:pt idx="22">
                  <c:v>5.7032639999999999</c:v>
                </c:pt>
                <c:pt idx="23">
                  <c:v>13.780800000000001</c:v>
                </c:pt>
                <c:pt idx="24">
                  <c:v>48.722687999999998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235200"/>
        <c:axId val="317237120"/>
      </c:scatterChart>
      <c:valAx>
        <c:axId val="31723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37120"/>
        <c:crossesAt val="0"/>
        <c:crossBetween val="midCat"/>
      </c:valAx>
      <c:valAx>
        <c:axId val="317237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3520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Apr!$D$5:$D$29</c:f>
              <c:numCache>
                <c:formatCode>General</c:formatCode>
                <c:ptCount val="25"/>
                <c:pt idx="0">
                  <c:v>120.9</c:v>
                </c:pt>
                <c:pt idx="1">
                  <c:v>27.6</c:v>
                </c:pt>
                <c:pt idx="2">
                  <c:v>23.14</c:v>
                </c:pt>
                <c:pt idx="3">
                  <c:v>17.46</c:v>
                </c:pt>
                <c:pt idx="4">
                  <c:v>26.99</c:v>
                </c:pt>
                <c:pt idx="5">
                  <c:v>30.09</c:v>
                </c:pt>
                <c:pt idx="6">
                  <c:v>19.100000000000001</c:v>
                </c:pt>
                <c:pt idx="7">
                  <c:v>3.7</c:v>
                </c:pt>
                <c:pt idx="8">
                  <c:v>3.5</c:v>
                </c:pt>
                <c:pt idx="9">
                  <c:v>12.5</c:v>
                </c:pt>
                <c:pt idx="10">
                  <c:v>13.5</c:v>
                </c:pt>
                <c:pt idx="11">
                  <c:v>17</c:v>
                </c:pt>
                <c:pt idx="12">
                  <c:v>17.2</c:v>
                </c:pt>
                <c:pt idx="13">
                  <c:v>20.5</c:v>
                </c:pt>
                <c:pt idx="14">
                  <c:v>22</c:v>
                </c:pt>
                <c:pt idx="15">
                  <c:v>32</c:v>
                </c:pt>
                <c:pt idx="16">
                  <c:v>6.88</c:v>
                </c:pt>
                <c:pt idx="17">
                  <c:v>7.11</c:v>
                </c:pt>
                <c:pt idx="18">
                  <c:v>2.81</c:v>
                </c:pt>
                <c:pt idx="19">
                  <c:v>2.67</c:v>
                </c:pt>
                <c:pt idx="20">
                  <c:v>6.88</c:v>
                </c:pt>
                <c:pt idx="21">
                  <c:v>1.82</c:v>
                </c:pt>
                <c:pt idx="22">
                  <c:v>1.61</c:v>
                </c:pt>
                <c:pt idx="23">
                  <c:v>3.19</c:v>
                </c:pt>
                <c:pt idx="24">
                  <c:v>3.71</c:v>
                </c:pt>
              </c:numCache>
            </c:numRef>
          </c:xVal>
          <c:yVal>
            <c:numRef>
              <c:f>Apr!$F$5:$F$29</c:f>
              <c:numCache>
                <c:formatCode>0.000</c:formatCode>
                <c:ptCount val="25"/>
                <c:pt idx="0">
                  <c:v>7614.9590400000016</c:v>
                </c:pt>
                <c:pt idx="1">
                  <c:v>2181.9456</c:v>
                </c:pt>
                <c:pt idx="2">
                  <c:v>207.92678400000003</c:v>
                </c:pt>
                <c:pt idx="3">
                  <c:v>312.26860800000003</c:v>
                </c:pt>
                <c:pt idx="4">
                  <c:v>195.88262399999999</c:v>
                </c:pt>
                <c:pt idx="5">
                  <c:v>197.58297600000003</c:v>
                </c:pt>
                <c:pt idx="6">
                  <c:v>514.87488000000008</c:v>
                </c:pt>
                <c:pt idx="7">
                  <c:v>53.706240000000001</c:v>
                </c:pt>
                <c:pt idx="8">
                  <c:v>47.476799999999997</c:v>
                </c:pt>
                <c:pt idx="9">
                  <c:v>520</c:v>
                </c:pt>
                <c:pt idx="10">
                  <c:v>220</c:v>
                </c:pt>
                <c:pt idx="11">
                  <c:v>1100</c:v>
                </c:pt>
                <c:pt idx="12">
                  <c:v>1010</c:v>
                </c:pt>
                <c:pt idx="13">
                  <c:v>540</c:v>
                </c:pt>
                <c:pt idx="14">
                  <c:v>540</c:v>
                </c:pt>
                <c:pt idx="15">
                  <c:v>3600</c:v>
                </c:pt>
                <c:pt idx="16">
                  <c:v>27.938304000000002</c:v>
                </c:pt>
                <c:pt idx="17">
                  <c:v>44.844192000000007</c:v>
                </c:pt>
                <c:pt idx="18">
                  <c:v>10.439712000000002</c:v>
                </c:pt>
                <c:pt idx="19">
                  <c:v>10.842336</c:v>
                </c:pt>
                <c:pt idx="20">
                  <c:v>64.793088000000012</c:v>
                </c:pt>
                <c:pt idx="21">
                  <c:v>4.4029440000000006</c:v>
                </c:pt>
                <c:pt idx="22">
                  <c:v>5.7032639999999999</c:v>
                </c:pt>
                <c:pt idx="23">
                  <c:v>13.780800000000001</c:v>
                </c:pt>
                <c:pt idx="24">
                  <c:v>48.722687999999998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268352"/>
        <c:axId val="317270272"/>
      </c:scatterChart>
      <c:valAx>
        <c:axId val="31726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70272"/>
        <c:crossesAt val="0"/>
        <c:crossBetween val="midCat"/>
      </c:valAx>
      <c:valAx>
        <c:axId val="317270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8352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Mei!$D$5:$D$29</c:f>
              <c:numCache>
                <c:formatCode>General</c:formatCode>
                <c:ptCount val="25"/>
                <c:pt idx="0">
                  <c:v>120.9</c:v>
                </c:pt>
                <c:pt idx="1">
                  <c:v>27.6</c:v>
                </c:pt>
                <c:pt idx="2">
                  <c:v>23.14</c:v>
                </c:pt>
                <c:pt idx="3">
                  <c:v>17.46</c:v>
                </c:pt>
                <c:pt idx="4">
                  <c:v>26.99</c:v>
                </c:pt>
                <c:pt idx="5">
                  <c:v>30.09</c:v>
                </c:pt>
                <c:pt idx="6">
                  <c:v>19.100000000000001</c:v>
                </c:pt>
                <c:pt idx="7">
                  <c:v>3.7</c:v>
                </c:pt>
                <c:pt idx="8">
                  <c:v>3.5</c:v>
                </c:pt>
                <c:pt idx="9">
                  <c:v>12.5</c:v>
                </c:pt>
                <c:pt idx="10">
                  <c:v>13.5</c:v>
                </c:pt>
                <c:pt idx="11">
                  <c:v>17</c:v>
                </c:pt>
                <c:pt idx="12">
                  <c:v>17.2</c:v>
                </c:pt>
                <c:pt idx="13">
                  <c:v>20.5</c:v>
                </c:pt>
                <c:pt idx="14">
                  <c:v>22</c:v>
                </c:pt>
                <c:pt idx="15">
                  <c:v>32</c:v>
                </c:pt>
                <c:pt idx="16">
                  <c:v>6.88</c:v>
                </c:pt>
                <c:pt idx="17">
                  <c:v>7.11</c:v>
                </c:pt>
                <c:pt idx="18">
                  <c:v>2.81</c:v>
                </c:pt>
                <c:pt idx="19">
                  <c:v>2.67</c:v>
                </c:pt>
                <c:pt idx="20">
                  <c:v>6.88</c:v>
                </c:pt>
                <c:pt idx="21">
                  <c:v>1.82</c:v>
                </c:pt>
                <c:pt idx="22">
                  <c:v>1.61</c:v>
                </c:pt>
                <c:pt idx="23">
                  <c:v>3.19</c:v>
                </c:pt>
                <c:pt idx="24">
                  <c:v>3.71</c:v>
                </c:pt>
              </c:numCache>
            </c:numRef>
          </c:xVal>
          <c:yVal>
            <c:numRef>
              <c:f>Mei!$F$5:$F$29</c:f>
              <c:numCache>
                <c:formatCode>0.000</c:formatCode>
                <c:ptCount val="25"/>
                <c:pt idx="0">
                  <c:v>7614.9590400000016</c:v>
                </c:pt>
                <c:pt idx="1">
                  <c:v>2181.9456</c:v>
                </c:pt>
                <c:pt idx="2">
                  <c:v>207.92678400000003</c:v>
                </c:pt>
                <c:pt idx="3">
                  <c:v>312.26860800000003</c:v>
                </c:pt>
                <c:pt idx="4">
                  <c:v>195.88262399999999</c:v>
                </c:pt>
                <c:pt idx="5">
                  <c:v>197.58297600000003</c:v>
                </c:pt>
                <c:pt idx="6">
                  <c:v>514.87488000000008</c:v>
                </c:pt>
                <c:pt idx="7">
                  <c:v>53.706240000000001</c:v>
                </c:pt>
                <c:pt idx="8">
                  <c:v>47.476799999999997</c:v>
                </c:pt>
                <c:pt idx="9">
                  <c:v>520</c:v>
                </c:pt>
                <c:pt idx="10">
                  <c:v>220</c:v>
                </c:pt>
                <c:pt idx="11">
                  <c:v>1100</c:v>
                </c:pt>
                <c:pt idx="12">
                  <c:v>1010</c:v>
                </c:pt>
                <c:pt idx="13">
                  <c:v>540</c:v>
                </c:pt>
                <c:pt idx="14">
                  <c:v>540</c:v>
                </c:pt>
                <c:pt idx="15">
                  <c:v>3600</c:v>
                </c:pt>
                <c:pt idx="16">
                  <c:v>27.938304000000002</c:v>
                </c:pt>
                <c:pt idx="17">
                  <c:v>44.844192000000007</c:v>
                </c:pt>
                <c:pt idx="18">
                  <c:v>10.439712000000002</c:v>
                </c:pt>
                <c:pt idx="19">
                  <c:v>10.842336</c:v>
                </c:pt>
                <c:pt idx="20">
                  <c:v>64.793088000000012</c:v>
                </c:pt>
                <c:pt idx="21">
                  <c:v>4.4029440000000006</c:v>
                </c:pt>
                <c:pt idx="22">
                  <c:v>5.7032639999999999</c:v>
                </c:pt>
                <c:pt idx="23">
                  <c:v>13.780800000000001</c:v>
                </c:pt>
                <c:pt idx="24">
                  <c:v>48.722687999999998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24384"/>
        <c:axId val="317426304"/>
      </c:scatterChart>
      <c:valAx>
        <c:axId val="3174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426304"/>
        <c:crossesAt val="0"/>
        <c:crossBetween val="midCat"/>
      </c:valAx>
      <c:valAx>
        <c:axId val="317426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42438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Jun!$D$5:$D$11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Jun!$F$5:$F$11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41152"/>
        <c:axId val="317443072"/>
      </c:scatterChart>
      <c:valAx>
        <c:axId val="31744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443072"/>
        <c:crossesAt val="0"/>
        <c:crossBetween val="midCat"/>
      </c:valAx>
      <c:valAx>
        <c:axId val="317443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441152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Jul!$D$5:$D$11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Jul!$F$5:$F$11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875712"/>
        <c:axId val="317877632"/>
      </c:scatterChart>
      <c:valAx>
        <c:axId val="31787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877632"/>
        <c:crossesAt val="0"/>
        <c:crossBetween val="midCat"/>
      </c:valAx>
      <c:valAx>
        <c:axId val="317877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875712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Ags!$D$5:$D$11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Ags!$F$5:$F$11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962112"/>
        <c:axId val="317972480"/>
      </c:scatterChart>
      <c:valAx>
        <c:axId val="31796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972480"/>
        <c:crossesAt val="0"/>
        <c:crossBetween val="midCat"/>
      </c:valAx>
      <c:valAx>
        <c:axId val="317972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962112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7.9658988521957144E-2"/>
                  <c:y val="-0.1247082289810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Sep!$D$5:$D$11</c:f>
              <c:numCache>
                <c:formatCode>General</c:formatCode>
                <c:ptCount val="7"/>
                <c:pt idx="0">
                  <c:v>120.9</c:v>
                </c:pt>
                <c:pt idx="1">
                  <c:v>23.14</c:v>
                </c:pt>
                <c:pt idx="2">
                  <c:v>17.46</c:v>
                </c:pt>
                <c:pt idx="3">
                  <c:v>26.99</c:v>
                </c:pt>
                <c:pt idx="4">
                  <c:v>19.100000000000001</c:v>
                </c:pt>
                <c:pt idx="5">
                  <c:v>3.7</c:v>
                </c:pt>
                <c:pt idx="6">
                  <c:v>3.5</c:v>
                </c:pt>
              </c:numCache>
            </c:numRef>
          </c:xVal>
          <c:yVal>
            <c:numRef>
              <c:f>Sep!$F$5:$F$11</c:f>
              <c:numCache>
                <c:formatCode>0.000</c:formatCode>
                <c:ptCount val="7"/>
                <c:pt idx="0">
                  <c:v>7614.9590400000016</c:v>
                </c:pt>
                <c:pt idx="1">
                  <c:v>207.92678400000003</c:v>
                </c:pt>
                <c:pt idx="2">
                  <c:v>312.26860800000003</c:v>
                </c:pt>
                <c:pt idx="3">
                  <c:v>195.88262399999999</c:v>
                </c:pt>
                <c:pt idx="4">
                  <c:v>514.87488000000008</c:v>
                </c:pt>
                <c:pt idx="5">
                  <c:v>53.706240000000001</c:v>
                </c:pt>
                <c:pt idx="6">
                  <c:v>47.476799999999997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7-41ED-A9FB-6D32D01C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99904"/>
        <c:axId val="345928064"/>
      </c:scatterChart>
      <c:valAx>
        <c:axId val="34549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Qw (m3/detik)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28064"/>
        <c:crossesAt val="0"/>
        <c:crossBetween val="midCat"/>
      </c:valAx>
      <c:valAx>
        <c:axId val="345928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Qs (Ton/hari)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9990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9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517524</xdr:colOff>
      <xdr:row>0</xdr:row>
      <xdr:rowOff>0</xdr:rowOff>
    </xdr:from>
    <xdr:to>
      <xdr:col>15</xdr:col>
      <xdr:colOff>146049</xdr:colOff>
      <xdr:row>11</xdr:row>
      <xdr:rowOff>73026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62</xdr:row>
      <xdr:rowOff>0</xdr:rowOff>
    </xdr:from>
    <xdr:to>
      <xdr:col>20</xdr:col>
      <xdr:colOff>211667</xdr:colOff>
      <xdr:row>71</xdr:row>
      <xdr:rowOff>353483</xdr:rowOff>
    </xdr:to>
    <xdr:pic>
      <xdr:nvPicPr>
        <xdr:cNvPr id="3" name="Content Placeholder 3" descr="kurva-bru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896350" y="8267700"/>
          <a:ext cx="5088467" cy="2783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191559</xdr:colOff>
      <xdr:row>65</xdr:row>
      <xdr:rowOff>13758</xdr:rowOff>
    </xdr:from>
    <xdr:to>
      <xdr:col>16</xdr:col>
      <xdr:colOff>196850</xdr:colOff>
      <xdr:row>71</xdr:row>
      <xdr:rowOff>50800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1894609" y="901170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234950</xdr:colOff>
      <xdr:row>65</xdr:row>
      <xdr:rowOff>19050</xdr:rowOff>
    </xdr:from>
    <xdr:to>
      <xdr:col>16</xdr:col>
      <xdr:colOff>190500</xdr:colOff>
      <xdr:row>65</xdr:row>
      <xdr:rowOff>24493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9499600" y="901700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10</xdr:col>
      <xdr:colOff>351367</xdr:colOff>
      <xdr:row>21</xdr:row>
      <xdr:rowOff>112183</xdr:rowOff>
    </xdr:to>
    <xdr:pic>
      <xdr:nvPicPr>
        <xdr:cNvPr id="2" name="Content Placeholder 3" descr="kurva-brune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105150" y="147320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191560</xdr:colOff>
      <xdr:row>12</xdr:row>
      <xdr:rowOff>13758</xdr:rowOff>
    </xdr:from>
    <xdr:to>
      <xdr:col>7</xdr:col>
      <xdr:colOff>196850</xdr:colOff>
      <xdr:row>20</xdr:row>
      <xdr:rowOff>6350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flipH="1" flipV="1">
          <a:off x="5944660" y="2039408"/>
          <a:ext cx="5290" cy="19293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12</xdr:row>
      <xdr:rowOff>19050</xdr:rowOff>
    </xdr:from>
    <xdr:to>
      <xdr:col>7</xdr:col>
      <xdr:colOff>190500</xdr:colOff>
      <xdr:row>12</xdr:row>
      <xdr:rowOff>24493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 flipH="1">
          <a:off x="3340100" y="204470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17</xdr:row>
      <xdr:rowOff>153200</xdr:rowOff>
    </xdr:from>
    <xdr:to>
      <xdr:col>37</xdr:col>
      <xdr:colOff>196851</xdr:colOff>
      <xdr:row>39</xdr:row>
      <xdr:rowOff>80010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81950" y="3290100"/>
          <a:ext cx="4978401" cy="3978110"/>
        </a:xfrm>
        <a:prstGeom prst="rect">
          <a:avLst/>
        </a:prstGeom>
      </xdr:spPr>
    </xdr:pic>
    <xdr:clientData/>
  </xdr:twoCellAnchor>
  <xdr:twoCellAnchor editAs="oneCell">
    <xdr:from>
      <xdr:col>29</xdr:col>
      <xdr:colOff>203200</xdr:colOff>
      <xdr:row>42</xdr:row>
      <xdr:rowOff>726</xdr:rowOff>
    </xdr:from>
    <xdr:to>
      <xdr:col>35</xdr:col>
      <xdr:colOff>285751</xdr:colOff>
      <xdr:row>54</xdr:row>
      <xdr:rowOff>41910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89900" y="7557226"/>
          <a:ext cx="3740151" cy="2250984"/>
        </a:xfrm>
        <a:prstGeom prst="rect">
          <a:avLst/>
        </a:prstGeom>
      </xdr:spPr>
    </xdr:pic>
    <xdr:clientData/>
  </xdr:twoCellAnchor>
  <xdr:twoCellAnchor editAs="oneCell">
    <xdr:from>
      <xdr:col>29</xdr:col>
      <xdr:colOff>73564</xdr:colOff>
      <xdr:row>0</xdr:row>
      <xdr:rowOff>184135</xdr:rowOff>
    </xdr:from>
    <xdr:to>
      <xdr:col>34</xdr:col>
      <xdr:colOff>553167</xdr:colOff>
      <xdr:row>13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60264" y="184135"/>
          <a:ext cx="3527601" cy="232411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50801</xdr:rowOff>
    </xdr:from>
    <xdr:to>
      <xdr:col>8</xdr:col>
      <xdr:colOff>221343</xdr:colOff>
      <xdr:row>2</xdr:row>
      <xdr:rowOff>169939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413500" y="50801"/>
          <a:ext cx="717550" cy="487438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457200</xdr:colOff>
      <xdr:row>7</xdr:row>
      <xdr:rowOff>0</xdr:rowOff>
    </xdr:from>
    <xdr:to>
      <xdr:col>28</xdr:col>
      <xdr:colOff>281375</xdr:colOff>
      <xdr:row>41</xdr:row>
      <xdr:rowOff>45708</xdr:rowOff>
    </xdr:to>
    <xdr:pic>
      <xdr:nvPicPr>
        <xdr:cNvPr id="6" name="Picture 5" descr="area increment.jp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540093" y="1333500"/>
          <a:ext cx="6137889" cy="6332208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43</xdr:row>
      <xdr:rowOff>134946</xdr:rowOff>
    </xdr:from>
    <xdr:to>
      <xdr:col>26</xdr:col>
      <xdr:colOff>471960</xdr:colOff>
      <xdr:row>77</xdr:row>
      <xdr:rowOff>5651</xdr:rowOff>
    </xdr:to>
    <xdr:pic>
      <xdr:nvPicPr>
        <xdr:cNvPr id="7" name="Picture 6" descr="reservoir area design.jp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490700" y="7875596"/>
          <a:ext cx="4739158" cy="6138155"/>
        </a:xfrm>
        <a:prstGeom prst="rect">
          <a:avLst/>
        </a:prstGeom>
      </xdr:spPr>
    </xdr:pic>
    <xdr:clientData/>
  </xdr:twoCellAnchor>
  <xdr:twoCellAnchor>
    <xdr:from>
      <xdr:col>22</xdr:col>
      <xdr:colOff>344461</xdr:colOff>
      <xdr:row>27</xdr:row>
      <xdr:rowOff>142876</xdr:rowOff>
    </xdr:from>
    <xdr:to>
      <xdr:col>22</xdr:col>
      <xdr:colOff>352867</xdr:colOff>
      <xdr:row>39</xdr:row>
      <xdr:rowOff>182561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3197737" y="5117773"/>
          <a:ext cx="8406" cy="20629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490964</xdr:colOff>
      <xdr:row>33</xdr:row>
      <xdr:rowOff>98067</xdr:rowOff>
    </xdr:from>
    <xdr:to>
      <xdr:col>24</xdr:col>
      <xdr:colOff>536683</xdr:colOff>
      <xdr:row>33</xdr:row>
      <xdr:rowOff>148564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15828082" y="6268773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27780</xdr:colOff>
      <xdr:row>38</xdr:row>
      <xdr:rowOff>6615</xdr:rowOff>
    </xdr:from>
    <xdr:to>
      <xdr:col>24</xdr:col>
      <xdr:colOff>319915</xdr:colOff>
      <xdr:row>39</xdr:row>
      <xdr:rowOff>68959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/>
      </xdr:nvSpPr>
      <xdr:spPr>
        <a:xfrm>
          <a:off x="14751843" y="6769365"/>
          <a:ext cx="903322" cy="2449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p0 = 0.362</a:t>
          </a:r>
        </a:p>
      </xdr:txBody>
    </xdr:sp>
    <xdr:clientData/>
  </xdr:twoCellAnchor>
  <xdr:twoCellAnchor>
    <xdr:from>
      <xdr:col>24</xdr:col>
      <xdr:colOff>165697</xdr:colOff>
      <xdr:row>31</xdr:row>
      <xdr:rowOff>153308</xdr:rowOff>
    </xdr:from>
    <xdr:to>
      <xdr:col>24</xdr:col>
      <xdr:colOff>211416</xdr:colOff>
      <xdr:row>32</xdr:row>
      <xdr:rowOff>17040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/>
      </xdr:nvSpPr>
      <xdr:spPr>
        <a:xfrm>
          <a:off x="15502815" y="5950484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48773</xdr:colOff>
      <xdr:row>34</xdr:row>
      <xdr:rowOff>153533</xdr:rowOff>
    </xdr:from>
    <xdr:to>
      <xdr:col>25</xdr:col>
      <xdr:colOff>94492</xdr:colOff>
      <xdr:row>35</xdr:row>
      <xdr:rowOff>21468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/>
      </xdr:nvSpPr>
      <xdr:spPr>
        <a:xfrm>
          <a:off x="15998479" y="6511004"/>
          <a:ext cx="45719" cy="54699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168433</xdr:colOff>
      <xdr:row>38</xdr:row>
      <xdr:rowOff>23007</xdr:rowOff>
    </xdr:from>
    <xdr:to>
      <xdr:col>25</xdr:col>
      <xdr:colOff>214152</xdr:colOff>
      <xdr:row>38</xdr:row>
      <xdr:rowOff>73504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/>
      </xdr:nvSpPr>
      <xdr:spPr>
        <a:xfrm>
          <a:off x="16118139" y="6940772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312389</xdr:colOff>
      <xdr:row>32</xdr:row>
      <xdr:rowOff>8641</xdr:rowOff>
    </xdr:from>
    <xdr:to>
      <xdr:col>24</xdr:col>
      <xdr:colOff>358108</xdr:colOff>
      <xdr:row>32</xdr:row>
      <xdr:rowOff>59138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/>
      </xdr:nvSpPr>
      <xdr:spPr>
        <a:xfrm>
          <a:off x="15649507" y="5992582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433542</xdr:colOff>
      <xdr:row>32</xdr:row>
      <xdr:rowOff>135848</xdr:rowOff>
    </xdr:from>
    <xdr:to>
      <xdr:col>24</xdr:col>
      <xdr:colOff>479261</xdr:colOff>
      <xdr:row>32</xdr:row>
      <xdr:rowOff>181567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/>
      </xdr:nvSpPr>
      <xdr:spPr>
        <a:xfrm>
          <a:off x="15770660" y="6119789"/>
          <a:ext cx="45719" cy="45719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47786</xdr:colOff>
      <xdr:row>31</xdr:row>
      <xdr:rowOff>116576</xdr:rowOff>
    </xdr:from>
    <xdr:to>
      <xdr:col>24</xdr:col>
      <xdr:colOff>93505</xdr:colOff>
      <xdr:row>31</xdr:row>
      <xdr:rowOff>171275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/>
      </xdr:nvSpPr>
      <xdr:spPr>
        <a:xfrm>
          <a:off x="15384904" y="5913752"/>
          <a:ext cx="45719" cy="54699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492911</xdr:colOff>
      <xdr:row>29</xdr:row>
      <xdr:rowOff>179783</xdr:rowOff>
    </xdr:from>
    <xdr:to>
      <xdr:col>23</xdr:col>
      <xdr:colOff>538630</xdr:colOff>
      <xdr:row>30</xdr:row>
      <xdr:rowOff>43515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/>
      </xdr:nvSpPr>
      <xdr:spPr>
        <a:xfrm>
          <a:off x="15217440" y="5603430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556249</xdr:colOff>
      <xdr:row>30</xdr:row>
      <xdr:rowOff>56068</xdr:rowOff>
    </xdr:from>
    <xdr:to>
      <xdr:col>23</xdr:col>
      <xdr:colOff>601968</xdr:colOff>
      <xdr:row>30</xdr:row>
      <xdr:rowOff>101787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/>
      </xdr:nvSpPr>
      <xdr:spPr>
        <a:xfrm>
          <a:off x="15280778" y="5666480"/>
          <a:ext cx="45719" cy="45719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224573</xdr:colOff>
      <xdr:row>29</xdr:row>
      <xdr:rowOff>90324</xdr:rowOff>
    </xdr:from>
    <xdr:to>
      <xdr:col>23</xdr:col>
      <xdr:colOff>270292</xdr:colOff>
      <xdr:row>29</xdr:row>
      <xdr:rowOff>145022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/>
      </xdr:nvSpPr>
      <xdr:spPr>
        <a:xfrm>
          <a:off x="14949102" y="5513971"/>
          <a:ext cx="45719" cy="54698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346607</xdr:colOff>
      <xdr:row>29</xdr:row>
      <xdr:rowOff>136718</xdr:rowOff>
    </xdr:from>
    <xdr:to>
      <xdr:col>23</xdr:col>
      <xdr:colOff>392326</xdr:colOff>
      <xdr:row>30</xdr:row>
      <xdr:rowOff>1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/>
      </xdr:nvSpPr>
      <xdr:spPr>
        <a:xfrm>
          <a:off x="15071136" y="5560365"/>
          <a:ext cx="45719" cy="50048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416865</xdr:colOff>
      <xdr:row>27</xdr:row>
      <xdr:rowOff>179325</xdr:rowOff>
    </xdr:from>
    <xdr:to>
      <xdr:col>22</xdr:col>
      <xdr:colOff>462584</xdr:colOff>
      <xdr:row>28</xdr:row>
      <xdr:rowOff>42196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/>
      </xdr:nvSpPr>
      <xdr:spPr>
        <a:xfrm>
          <a:off x="14528806" y="5229443"/>
          <a:ext cx="45719" cy="4963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515496</xdr:colOff>
      <xdr:row>28</xdr:row>
      <xdr:rowOff>38067</xdr:rowOff>
    </xdr:from>
    <xdr:to>
      <xdr:col>22</xdr:col>
      <xdr:colOff>561215</xdr:colOff>
      <xdr:row>28</xdr:row>
      <xdr:rowOff>88564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/>
      </xdr:nvSpPr>
      <xdr:spPr>
        <a:xfrm>
          <a:off x="14627437" y="5274949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9066</xdr:colOff>
      <xdr:row>28</xdr:row>
      <xdr:rowOff>81196</xdr:rowOff>
    </xdr:from>
    <xdr:to>
      <xdr:col>23</xdr:col>
      <xdr:colOff>54785</xdr:colOff>
      <xdr:row>28</xdr:row>
      <xdr:rowOff>131693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/>
      </xdr:nvSpPr>
      <xdr:spPr>
        <a:xfrm>
          <a:off x="14733595" y="5318078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145743</xdr:colOff>
      <xdr:row>27</xdr:row>
      <xdr:rowOff>32076</xdr:rowOff>
    </xdr:from>
    <xdr:to>
      <xdr:col>22</xdr:col>
      <xdr:colOff>191462</xdr:colOff>
      <xdr:row>27</xdr:row>
      <xdr:rowOff>86775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/>
      </xdr:nvSpPr>
      <xdr:spPr>
        <a:xfrm>
          <a:off x="14257684" y="5082194"/>
          <a:ext cx="45719" cy="54699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84095</xdr:colOff>
      <xdr:row>26</xdr:row>
      <xdr:rowOff>112523</xdr:rowOff>
    </xdr:from>
    <xdr:to>
      <xdr:col>22</xdr:col>
      <xdr:colOff>129814</xdr:colOff>
      <xdr:row>26</xdr:row>
      <xdr:rowOff>163020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/>
      </xdr:nvSpPr>
      <xdr:spPr>
        <a:xfrm>
          <a:off x="14187445" y="4906773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515877</xdr:colOff>
      <xdr:row>23</xdr:row>
      <xdr:rowOff>10909</xdr:rowOff>
    </xdr:from>
    <xdr:to>
      <xdr:col>21</xdr:col>
      <xdr:colOff>561596</xdr:colOff>
      <xdr:row>23</xdr:row>
      <xdr:rowOff>61406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/>
      </xdr:nvSpPr>
      <xdr:spPr>
        <a:xfrm>
          <a:off x="16248002" y="4217784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406323</xdr:colOff>
      <xdr:row>22</xdr:row>
      <xdr:rowOff>123607</xdr:rowOff>
    </xdr:from>
    <xdr:to>
      <xdr:col>21</xdr:col>
      <xdr:colOff>452042</xdr:colOff>
      <xdr:row>22</xdr:row>
      <xdr:rowOff>174104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/>
      </xdr:nvSpPr>
      <xdr:spPr>
        <a:xfrm>
          <a:off x="16138448" y="4147920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336459</xdr:colOff>
      <xdr:row>22</xdr:row>
      <xdr:rowOff>6115</xdr:rowOff>
    </xdr:from>
    <xdr:to>
      <xdr:col>21</xdr:col>
      <xdr:colOff>382178</xdr:colOff>
      <xdr:row>22</xdr:row>
      <xdr:rowOff>56612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/>
      </xdr:nvSpPr>
      <xdr:spPr>
        <a:xfrm>
          <a:off x="16068584" y="4030428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171339</xdr:colOff>
      <xdr:row>21</xdr:row>
      <xdr:rowOff>39434</xdr:rowOff>
    </xdr:from>
    <xdr:to>
      <xdr:col>21</xdr:col>
      <xdr:colOff>217058</xdr:colOff>
      <xdr:row>21</xdr:row>
      <xdr:rowOff>89931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/>
      </xdr:nvSpPr>
      <xdr:spPr>
        <a:xfrm>
          <a:off x="15903464" y="3881184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93537</xdr:colOff>
      <xdr:row>20</xdr:row>
      <xdr:rowOff>88628</xdr:rowOff>
    </xdr:from>
    <xdr:to>
      <xdr:col>21</xdr:col>
      <xdr:colOff>139256</xdr:colOff>
      <xdr:row>20</xdr:row>
      <xdr:rowOff>139125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/>
      </xdr:nvSpPr>
      <xdr:spPr>
        <a:xfrm>
          <a:off x="15825662" y="3747816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571356</xdr:colOff>
      <xdr:row>19</xdr:row>
      <xdr:rowOff>98133</xdr:rowOff>
    </xdr:from>
    <xdr:to>
      <xdr:col>21</xdr:col>
      <xdr:colOff>5888</xdr:colOff>
      <xdr:row>19</xdr:row>
      <xdr:rowOff>148630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/>
      </xdr:nvSpPr>
      <xdr:spPr>
        <a:xfrm>
          <a:off x="15692294" y="3574758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453864</xdr:colOff>
      <xdr:row>18</xdr:row>
      <xdr:rowOff>163203</xdr:rowOff>
    </xdr:from>
    <xdr:to>
      <xdr:col>20</xdr:col>
      <xdr:colOff>499583</xdr:colOff>
      <xdr:row>19</xdr:row>
      <xdr:rowOff>31138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/>
      </xdr:nvSpPr>
      <xdr:spPr>
        <a:xfrm>
          <a:off x="15574802" y="3457266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344310</xdr:colOff>
      <xdr:row>17</xdr:row>
      <xdr:rowOff>133018</xdr:rowOff>
    </xdr:from>
    <xdr:to>
      <xdr:col>20</xdr:col>
      <xdr:colOff>390029</xdr:colOff>
      <xdr:row>18</xdr:row>
      <xdr:rowOff>952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/>
      </xdr:nvSpPr>
      <xdr:spPr>
        <a:xfrm>
          <a:off x="15465248" y="3244518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226818</xdr:colOff>
      <xdr:row>16</xdr:row>
      <xdr:rowOff>174274</xdr:rowOff>
    </xdr:from>
    <xdr:to>
      <xdr:col>20</xdr:col>
      <xdr:colOff>272537</xdr:colOff>
      <xdr:row>17</xdr:row>
      <xdr:rowOff>42209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/>
      </xdr:nvSpPr>
      <xdr:spPr>
        <a:xfrm>
          <a:off x="15347756" y="3103212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149016</xdr:colOff>
      <xdr:row>15</xdr:row>
      <xdr:rowOff>1205</xdr:rowOff>
    </xdr:from>
    <xdr:to>
      <xdr:col>20</xdr:col>
      <xdr:colOff>194735</xdr:colOff>
      <xdr:row>15</xdr:row>
      <xdr:rowOff>51702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/>
      </xdr:nvSpPr>
      <xdr:spPr>
        <a:xfrm>
          <a:off x="15269954" y="2747580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102966</xdr:colOff>
      <xdr:row>14</xdr:row>
      <xdr:rowOff>10709</xdr:rowOff>
    </xdr:from>
    <xdr:to>
      <xdr:col>20</xdr:col>
      <xdr:colOff>148685</xdr:colOff>
      <xdr:row>14</xdr:row>
      <xdr:rowOff>61206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/>
      </xdr:nvSpPr>
      <xdr:spPr>
        <a:xfrm>
          <a:off x="15223904" y="2574522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517282</xdr:colOff>
      <xdr:row>12</xdr:row>
      <xdr:rowOff>91644</xdr:rowOff>
    </xdr:from>
    <xdr:to>
      <xdr:col>19</xdr:col>
      <xdr:colOff>563001</xdr:colOff>
      <xdr:row>12</xdr:row>
      <xdr:rowOff>142141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/>
      </xdr:nvSpPr>
      <xdr:spPr>
        <a:xfrm>
          <a:off x="15027032" y="2290332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407728</xdr:colOff>
      <xdr:row>9</xdr:row>
      <xdr:rowOff>124940</xdr:rowOff>
    </xdr:from>
    <xdr:to>
      <xdr:col>19</xdr:col>
      <xdr:colOff>453447</xdr:colOff>
      <xdr:row>9</xdr:row>
      <xdr:rowOff>175437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/>
      </xdr:nvSpPr>
      <xdr:spPr>
        <a:xfrm>
          <a:off x="14917478" y="1775940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266422</xdr:colOff>
      <xdr:row>7</xdr:row>
      <xdr:rowOff>110619</xdr:rowOff>
    </xdr:from>
    <xdr:to>
      <xdr:col>19</xdr:col>
      <xdr:colOff>312141</xdr:colOff>
      <xdr:row>7</xdr:row>
      <xdr:rowOff>161116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/>
      </xdr:nvSpPr>
      <xdr:spPr>
        <a:xfrm>
          <a:off x="14776172" y="1396494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118634</xdr:colOff>
      <xdr:row>29</xdr:row>
      <xdr:rowOff>39946</xdr:rowOff>
    </xdr:from>
    <xdr:to>
      <xdr:col>23</xdr:col>
      <xdr:colOff>164353</xdr:colOff>
      <xdr:row>29</xdr:row>
      <xdr:rowOff>90443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>
        <a:xfrm>
          <a:off x="14843163" y="5463593"/>
          <a:ext cx="45719" cy="50497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99786</xdr:colOff>
      <xdr:row>57</xdr:row>
      <xdr:rowOff>27214</xdr:rowOff>
    </xdr:from>
    <xdr:to>
      <xdr:col>18</xdr:col>
      <xdr:colOff>361431</xdr:colOff>
      <xdr:row>82</xdr:row>
      <xdr:rowOff>63500</xdr:rowOff>
    </xdr:to>
    <xdr:pic>
      <xdr:nvPicPr>
        <xdr:cNvPr id="55" name="Picture 54" descr="bentuk m.jp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49786" y="10205357"/>
          <a:ext cx="7999185" cy="4572000"/>
        </a:xfrm>
        <a:prstGeom prst="rect">
          <a:avLst/>
        </a:prstGeom>
      </xdr:spPr>
    </xdr:pic>
    <xdr:clientData/>
  </xdr:twoCellAnchor>
  <xdr:twoCellAnchor>
    <xdr:from>
      <xdr:col>17</xdr:col>
      <xdr:colOff>308160</xdr:colOff>
      <xdr:row>26</xdr:row>
      <xdr:rowOff>133337</xdr:rowOff>
    </xdr:from>
    <xdr:to>
      <xdr:col>25</xdr:col>
      <xdr:colOff>308160</xdr:colOff>
      <xdr:row>26</xdr:row>
      <xdr:rowOff>142302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CxnSpPr/>
      </xdr:nvCxnSpPr>
      <xdr:spPr>
        <a:xfrm flipV="1">
          <a:off x="11973110" y="4927587"/>
          <a:ext cx="4267200" cy="89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100822</xdr:colOff>
      <xdr:row>17</xdr:row>
      <xdr:rowOff>37355</xdr:rowOff>
    </xdr:from>
    <xdr:to>
      <xdr:col>22</xdr:col>
      <xdr:colOff>108290</xdr:colOff>
      <xdr:row>47</xdr:row>
      <xdr:rowOff>74708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CxnSpPr/>
      </xdr:nvCxnSpPr>
      <xdr:spPr>
        <a:xfrm flipH="1">
          <a:off x="14204172" y="3174255"/>
          <a:ext cx="7468" cy="53777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103188</xdr:colOff>
      <xdr:row>26</xdr:row>
      <xdr:rowOff>138906</xdr:rowOff>
    </xdr:from>
    <xdr:to>
      <xdr:col>25</xdr:col>
      <xdr:colOff>63500</xdr:colOff>
      <xdr:row>34</xdr:row>
      <xdr:rowOff>170656</xdr:rowOff>
    </xdr:to>
    <xdr:sp macro="" textlink="">
      <xdr:nvSpPr>
        <xdr:cNvPr id="41" name="Freeform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/>
      </xdr:nvSpPr>
      <xdr:spPr>
        <a:xfrm>
          <a:off x="14216063" y="4893469"/>
          <a:ext cx="1793875" cy="1492250"/>
        </a:xfrm>
        <a:custGeom>
          <a:avLst/>
          <a:gdLst>
            <a:gd name="connsiteX0" fmla="*/ 0 w 1793875"/>
            <a:gd name="connsiteY0" fmla="*/ 0 h 1492250"/>
            <a:gd name="connsiteX1" fmla="*/ 55562 w 1793875"/>
            <a:gd name="connsiteY1" fmla="*/ 99219 h 1492250"/>
            <a:gd name="connsiteX2" fmla="*/ 222250 w 1793875"/>
            <a:gd name="connsiteY2" fmla="*/ 158750 h 1492250"/>
            <a:gd name="connsiteX3" fmla="*/ 337343 w 1793875"/>
            <a:gd name="connsiteY3" fmla="*/ 242094 h 1492250"/>
            <a:gd name="connsiteX4" fmla="*/ 428625 w 1793875"/>
            <a:gd name="connsiteY4" fmla="*/ 277812 h 1492250"/>
            <a:gd name="connsiteX5" fmla="*/ 531812 w 1793875"/>
            <a:gd name="connsiteY5" fmla="*/ 325437 h 1492250"/>
            <a:gd name="connsiteX6" fmla="*/ 654843 w 1793875"/>
            <a:gd name="connsiteY6" fmla="*/ 476250 h 1492250"/>
            <a:gd name="connsiteX7" fmla="*/ 758031 w 1793875"/>
            <a:gd name="connsiteY7" fmla="*/ 523875 h 1492250"/>
            <a:gd name="connsiteX8" fmla="*/ 873125 w 1793875"/>
            <a:gd name="connsiteY8" fmla="*/ 559594 h 1492250"/>
            <a:gd name="connsiteX9" fmla="*/ 1016000 w 1793875"/>
            <a:gd name="connsiteY9" fmla="*/ 607219 h 1492250"/>
            <a:gd name="connsiteX10" fmla="*/ 1087437 w 1793875"/>
            <a:gd name="connsiteY10" fmla="*/ 678656 h 1492250"/>
            <a:gd name="connsiteX11" fmla="*/ 1186656 w 1793875"/>
            <a:gd name="connsiteY11" fmla="*/ 920750 h 1492250"/>
            <a:gd name="connsiteX12" fmla="*/ 1309687 w 1793875"/>
            <a:gd name="connsiteY12" fmla="*/ 948531 h 1492250"/>
            <a:gd name="connsiteX13" fmla="*/ 1452562 w 1793875"/>
            <a:gd name="connsiteY13" fmla="*/ 984250 h 1492250"/>
            <a:gd name="connsiteX14" fmla="*/ 1567656 w 1793875"/>
            <a:gd name="connsiteY14" fmla="*/ 1115219 h 1492250"/>
            <a:gd name="connsiteX15" fmla="*/ 1631156 w 1793875"/>
            <a:gd name="connsiteY15" fmla="*/ 1254125 h 1492250"/>
            <a:gd name="connsiteX16" fmla="*/ 1793875 w 1793875"/>
            <a:gd name="connsiteY16" fmla="*/ 1492250 h 1492250"/>
            <a:gd name="connsiteX17" fmla="*/ 1793875 w 1793875"/>
            <a:gd name="connsiteY17" fmla="*/ 1492250 h 1492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1793875" h="1492250">
              <a:moveTo>
                <a:pt x="0" y="0"/>
              </a:moveTo>
              <a:lnTo>
                <a:pt x="55562" y="99219"/>
              </a:lnTo>
              <a:lnTo>
                <a:pt x="222250" y="158750"/>
              </a:lnTo>
              <a:lnTo>
                <a:pt x="337343" y="242094"/>
              </a:lnTo>
              <a:lnTo>
                <a:pt x="428625" y="277812"/>
              </a:lnTo>
              <a:lnTo>
                <a:pt x="531812" y="325437"/>
              </a:lnTo>
              <a:lnTo>
                <a:pt x="654843" y="476250"/>
              </a:lnTo>
              <a:lnTo>
                <a:pt x="758031" y="523875"/>
              </a:lnTo>
              <a:lnTo>
                <a:pt x="873125" y="559594"/>
              </a:lnTo>
              <a:lnTo>
                <a:pt x="1016000" y="607219"/>
              </a:lnTo>
              <a:lnTo>
                <a:pt x="1087437" y="678656"/>
              </a:lnTo>
              <a:lnTo>
                <a:pt x="1186656" y="920750"/>
              </a:lnTo>
              <a:lnTo>
                <a:pt x="1309687" y="948531"/>
              </a:lnTo>
              <a:lnTo>
                <a:pt x="1452562" y="984250"/>
              </a:lnTo>
              <a:lnTo>
                <a:pt x="1567656" y="1115219"/>
              </a:lnTo>
              <a:lnTo>
                <a:pt x="1631156" y="1254125"/>
              </a:lnTo>
              <a:lnTo>
                <a:pt x="1793875" y="1492250"/>
              </a:lnTo>
              <a:lnTo>
                <a:pt x="1793875" y="1492250"/>
              </a:ln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271316</xdr:colOff>
      <xdr:row>84</xdr:row>
      <xdr:rowOff>54262</xdr:rowOff>
    </xdr:from>
    <xdr:to>
      <xdr:col>21</xdr:col>
      <xdr:colOff>69271</xdr:colOff>
      <xdr:row>113</xdr:row>
      <xdr:rowOff>126999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242456</xdr:colOff>
      <xdr:row>84</xdr:row>
      <xdr:rowOff>51953</xdr:rowOff>
    </xdr:from>
    <xdr:to>
      <xdr:col>47</xdr:col>
      <xdr:colOff>277091</xdr:colOff>
      <xdr:row>116</xdr:row>
      <xdr:rowOff>173181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BD3A424-AB1F-4CE1-A380-6D7302662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588819</xdr:colOff>
      <xdr:row>84</xdr:row>
      <xdr:rowOff>173182</xdr:rowOff>
    </xdr:from>
    <xdr:to>
      <xdr:col>29</xdr:col>
      <xdr:colOff>329046</xdr:colOff>
      <xdr:row>115</xdr:row>
      <xdr:rowOff>51955</xdr:rowOff>
    </xdr:to>
    <xdr:sp macro="" textlink="">
      <xdr:nvSpPr>
        <xdr:cNvPr id="10" name="Trapezoid 9">
          <a:extLst>
            <a:ext uri="{FF2B5EF4-FFF2-40B4-BE49-F238E27FC236}">
              <a16:creationId xmlns:a16="http://schemas.microsoft.com/office/drawing/2014/main" id="{64F28980-E008-49EB-A4BD-2E3F98E94B42}"/>
            </a:ext>
          </a:extLst>
        </xdr:cNvPr>
        <xdr:cNvSpPr/>
      </xdr:nvSpPr>
      <xdr:spPr>
        <a:xfrm>
          <a:off x="19050001" y="15984682"/>
          <a:ext cx="952500" cy="5784273"/>
        </a:xfrm>
        <a:prstGeom prst="trapezoid">
          <a:avLst>
            <a:gd name="adj" fmla="val 37727"/>
          </a:avLst>
        </a:prstGeom>
        <a:pattFill prst="smConfetti">
          <a:fgClr>
            <a:schemeClr val="bg2">
              <a:lumMod val="50000"/>
            </a:schemeClr>
          </a:fgClr>
          <a:bgClr>
            <a:schemeClr val="bg1"/>
          </a:bgClr>
        </a:patt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598715</xdr:colOff>
      <xdr:row>86</xdr:row>
      <xdr:rowOff>68036</xdr:rowOff>
    </xdr:from>
    <xdr:to>
      <xdr:col>44</xdr:col>
      <xdr:colOff>398319</xdr:colOff>
      <xdr:row>86</xdr:row>
      <xdr:rowOff>68036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1C75410-4AFA-4712-8166-A04E3BE9F62A}"/>
            </a:ext>
          </a:extLst>
        </xdr:cNvPr>
        <xdr:cNvCxnSpPr/>
      </xdr:nvCxnSpPr>
      <xdr:spPr>
        <a:xfrm flipH="1" flipV="1">
          <a:off x="19784786" y="16260536"/>
          <a:ext cx="95967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190500</xdr:colOff>
      <xdr:row>104</xdr:row>
      <xdr:rowOff>51955</xdr:rowOff>
    </xdr:from>
    <xdr:to>
      <xdr:col>31</xdr:col>
      <xdr:colOff>484910</xdr:colOff>
      <xdr:row>104</xdr:row>
      <xdr:rowOff>51955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A485110-8CC5-4380-B84F-7128DE943D68}"/>
            </a:ext>
          </a:extLst>
        </xdr:cNvPr>
        <xdr:cNvCxnSpPr/>
      </xdr:nvCxnSpPr>
      <xdr:spPr>
        <a:xfrm flipH="1" flipV="1">
          <a:off x="19863955" y="19673455"/>
          <a:ext cx="150668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329045</xdr:colOff>
      <xdr:row>85</xdr:row>
      <xdr:rowOff>103909</xdr:rowOff>
    </xdr:from>
    <xdr:to>
      <xdr:col>33</xdr:col>
      <xdr:colOff>484909</xdr:colOff>
      <xdr:row>86</xdr:row>
      <xdr:rowOff>86590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D035BF05-CFB4-4611-921C-04C5D5FD2216}"/>
            </a:ext>
          </a:extLst>
        </xdr:cNvPr>
        <xdr:cNvSpPr/>
      </xdr:nvSpPr>
      <xdr:spPr>
        <a:xfrm rot="10800000">
          <a:off x="22427045" y="16105909"/>
          <a:ext cx="155864" cy="173181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484910</xdr:colOff>
      <xdr:row>85</xdr:row>
      <xdr:rowOff>34637</xdr:rowOff>
    </xdr:from>
    <xdr:to>
      <xdr:col>34</xdr:col>
      <xdr:colOff>450274</xdr:colOff>
      <xdr:row>86</xdr:row>
      <xdr:rowOff>103910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553D576-2487-4638-B268-5BAD7A566F01}"/>
            </a:ext>
          </a:extLst>
        </xdr:cNvPr>
        <xdr:cNvSpPr/>
      </xdr:nvSpPr>
      <xdr:spPr>
        <a:xfrm>
          <a:off x="22582910" y="16036637"/>
          <a:ext cx="571500" cy="2597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N.W.L</a:t>
          </a:r>
        </a:p>
      </xdr:txBody>
    </xdr:sp>
    <xdr:clientData/>
  </xdr:twoCellAnchor>
  <xdr:twoCellAnchor>
    <xdr:from>
      <xdr:col>30</xdr:col>
      <xdr:colOff>513606</xdr:colOff>
      <xdr:row>103</xdr:row>
      <xdr:rowOff>28698</xdr:rowOff>
    </xdr:from>
    <xdr:to>
      <xdr:col>31</xdr:col>
      <xdr:colOff>57148</xdr:colOff>
      <xdr:row>104</xdr:row>
      <xdr:rowOff>11379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BA4209FB-1914-43AC-B854-6BF2435F0F13}"/>
            </a:ext>
          </a:extLst>
        </xdr:cNvPr>
        <xdr:cNvSpPr/>
      </xdr:nvSpPr>
      <xdr:spPr>
        <a:xfrm rot="10800000">
          <a:off x="20924320" y="19459698"/>
          <a:ext cx="155864" cy="173181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49481</xdr:colOff>
      <xdr:row>102</xdr:row>
      <xdr:rowOff>170709</xdr:rowOff>
    </xdr:from>
    <xdr:to>
      <xdr:col>32</xdr:col>
      <xdr:colOff>14845</xdr:colOff>
      <xdr:row>104</xdr:row>
      <xdr:rowOff>49482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B5452534-ACEF-48C1-8F37-C7B08F61A08C}"/>
            </a:ext>
          </a:extLst>
        </xdr:cNvPr>
        <xdr:cNvSpPr/>
      </xdr:nvSpPr>
      <xdr:spPr>
        <a:xfrm>
          <a:off x="21072517" y="19411209"/>
          <a:ext cx="577685" cy="2597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L.W.L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64</xdr:row>
      <xdr:rowOff>0</xdr:rowOff>
    </xdr:from>
    <xdr:to>
      <xdr:col>20</xdr:col>
      <xdr:colOff>211667</xdr:colOff>
      <xdr:row>73</xdr:row>
      <xdr:rowOff>42333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264650" y="844550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191559</xdr:colOff>
      <xdr:row>67</xdr:row>
      <xdr:rowOff>13758</xdr:rowOff>
    </xdr:from>
    <xdr:to>
      <xdr:col>16</xdr:col>
      <xdr:colOff>196850</xdr:colOff>
      <xdr:row>72</xdr:row>
      <xdr:rowOff>234950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 flipV="1">
          <a:off x="11894609" y="901170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234950</xdr:colOff>
      <xdr:row>67</xdr:row>
      <xdr:rowOff>19050</xdr:rowOff>
    </xdr:from>
    <xdr:to>
      <xdr:col>16</xdr:col>
      <xdr:colOff>190500</xdr:colOff>
      <xdr:row>67</xdr:row>
      <xdr:rowOff>24493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499600" y="901700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63</xdr:row>
      <xdr:rowOff>0</xdr:rowOff>
    </xdr:from>
    <xdr:to>
      <xdr:col>20</xdr:col>
      <xdr:colOff>211667</xdr:colOff>
      <xdr:row>72</xdr:row>
      <xdr:rowOff>42333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264650" y="844550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191559</xdr:colOff>
      <xdr:row>66</xdr:row>
      <xdr:rowOff>13758</xdr:rowOff>
    </xdr:from>
    <xdr:to>
      <xdr:col>16</xdr:col>
      <xdr:colOff>196850</xdr:colOff>
      <xdr:row>71</xdr:row>
      <xdr:rowOff>234950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 flipV="1">
          <a:off x="11894609" y="901170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234950</xdr:colOff>
      <xdr:row>66</xdr:row>
      <xdr:rowOff>19050</xdr:rowOff>
    </xdr:from>
    <xdr:to>
      <xdr:col>16</xdr:col>
      <xdr:colOff>190500</xdr:colOff>
      <xdr:row>66</xdr:row>
      <xdr:rowOff>24493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>
          <a:off x="9499600" y="901700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64</xdr:row>
      <xdr:rowOff>0</xdr:rowOff>
    </xdr:from>
    <xdr:to>
      <xdr:col>18</xdr:col>
      <xdr:colOff>579967</xdr:colOff>
      <xdr:row>73</xdr:row>
      <xdr:rowOff>42333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44550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67</xdr:row>
      <xdr:rowOff>13758</xdr:rowOff>
    </xdr:from>
    <xdr:to>
      <xdr:col>14</xdr:col>
      <xdr:colOff>565150</xdr:colOff>
      <xdr:row>72</xdr:row>
      <xdr:rowOff>234950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 flipV="1">
          <a:off x="11043709" y="901170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67</xdr:row>
      <xdr:rowOff>19050</xdr:rowOff>
    </xdr:from>
    <xdr:to>
      <xdr:col>14</xdr:col>
      <xdr:colOff>558800</xdr:colOff>
      <xdr:row>67</xdr:row>
      <xdr:rowOff>24493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>
          <a:off x="8648700" y="901700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64</xdr:row>
      <xdr:rowOff>0</xdr:rowOff>
    </xdr:from>
    <xdr:to>
      <xdr:col>18</xdr:col>
      <xdr:colOff>579967</xdr:colOff>
      <xdr:row>72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66</xdr:row>
      <xdr:rowOff>197908</xdr:rowOff>
    </xdr:from>
    <xdr:to>
      <xdr:col>14</xdr:col>
      <xdr:colOff>565150</xdr:colOff>
      <xdr:row>71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66</xdr:row>
      <xdr:rowOff>203200</xdr:rowOff>
    </xdr:from>
    <xdr:to>
      <xdr:col>14</xdr:col>
      <xdr:colOff>558800</xdr:colOff>
      <xdr:row>66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492124</xdr:colOff>
      <xdr:row>1</xdr:row>
      <xdr:rowOff>111124</xdr:rowOff>
    </xdr:from>
    <xdr:to>
      <xdr:col>15</xdr:col>
      <xdr:colOff>120649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45</xdr:row>
      <xdr:rowOff>0</xdr:rowOff>
    </xdr:from>
    <xdr:to>
      <xdr:col>18</xdr:col>
      <xdr:colOff>579967</xdr:colOff>
      <xdr:row>53</xdr:row>
      <xdr:rowOff>226483</xdr:rowOff>
    </xdr:to>
    <xdr:pic>
      <xdr:nvPicPr>
        <xdr:cNvPr id="6" name="Content Placeholder 3" descr="kurva-brune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3750" y="8629650"/>
          <a:ext cx="5088467" cy="278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559859</xdr:colOff>
      <xdr:row>47</xdr:row>
      <xdr:rowOff>197908</xdr:rowOff>
    </xdr:from>
    <xdr:to>
      <xdr:col>14</xdr:col>
      <xdr:colOff>565150</xdr:colOff>
      <xdr:row>52</xdr:row>
      <xdr:rowOff>419100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flipH="1" flipV="1">
          <a:off x="11043709" y="9195858"/>
          <a:ext cx="5291" cy="1916642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234950</xdr:colOff>
      <xdr:row>47</xdr:row>
      <xdr:rowOff>203200</xdr:rowOff>
    </xdr:from>
    <xdr:to>
      <xdr:col>14</xdr:col>
      <xdr:colOff>558800</xdr:colOff>
      <xdr:row>47</xdr:row>
      <xdr:rowOff>208643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 flipH="1">
          <a:off x="8648700" y="9201150"/>
          <a:ext cx="2393950" cy="544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ster%202/Konservasi%20Waduk%20dan%20Penanganan%20Sedimen/Tugas/Tugas%202/mba%20wulan/tugas%20sedimen%20layang%20wu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Sedimen Layang"/>
      <sheetName val="Distribusi Sedimen"/>
      <sheetName val="Distr Sed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G40" t="str">
            <v>Kedalaman Relatif (p)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opLeftCell="B35" zoomScaleNormal="100" workbookViewId="0">
      <selection activeCell="F33" sqref="F33:L55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1" x14ac:dyDescent="0.25">
      <c r="A1" t="s">
        <v>0</v>
      </c>
    </row>
    <row r="3" spans="1:11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1" ht="14.1" customHeight="1" x14ac:dyDescent="0.25">
      <c r="A4" s="73"/>
      <c r="B4" s="74"/>
      <c r="C4" s="74"/>
      <c r="D4" s="73"/>
      <c r="E4" s="74"/>
      <c r="F4" s="73"/>
    </row>
    <row r="5" spans="1:11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2" si="0">0.0864*D5*E5</f>
        <v>7614.9590400000016</v>
      </c>
      <c r="I5" s="5"/>
      <c r="J5" s="6"/>
      <c r="K5" s="5"/>
    </row>
    <row r="6" spans="1:11" x14ac:dyDescent="0.25">
      <c r="A6" s="1">
        <v>2</v>
      </c>
      <c r="B6" s="2">
        <v>34129</v>
      </c>
      <c r="C6" s="1"/>
      <c r="D6" s="1">
        <v>27.6</v>
      </c>
      <c r="E6" s="3">
        <v>915</v>
      </c>
      <c r="F6" s="4">
        <f t="shared" si="0"/>
        <v>2181.9456</v>
      </c>
      <c r="I6" s="5"/>
      <c r="J6" s="6"/>
      <c r="K6" s="5"/>
    </row>
    <row r="7" spans="1:11" x14ac:dyDescent="0.25">
      <c r="A7" s="1">
        <v>3</v>
      </c>
      <c r="B7" s="2">
        <v>34285</v>
      </c>
      <c r="C7" s="1">
        <v>18.3</v>
      </c>
      <c r="D7" s="1">
        <v>23.14</v>
      </c>
      <c r="E7" s="3">
        <v>104</v>
      </c>
      <c r="F7" s="4">
        <f t="shared" si="0"/>
        <v>207.92678400000003</v>
      </c>
      <c r="I7" s="5"/>
      <c r="J7" s="6"/>
      <c r="K7" s="5"/>
    </row>
    <row r="8" spans="1:11" x14ac:dyDescent="0.25">
      <c r="A8" s="1">
        <v>4</v>
      </c>
      <c r="B8" s="2">
        <v>34224</v>
      </c>
      <c r="C8" s="1">
        <v>24.3</v>
      </c>
      <c r="D8" s="1">
        <v>17.46</v>
      </c>
      <c r="E8" s="3">
        <v>207</v>
      </c>
      <c r="F8" s="4">
        <f t="shared" si="0"/>
        <v>312.26860800000003</v>
      </c>
      <c r="I8" s="5"/>
      <c r="J8" s="6"/>
      <c r="K8" s="5"/>
    </row>
    <row r="9" spans="1:11" x14ac:dyDescent="0.25">
      <c r="A9" s="1">
        <v>5</v>
      </c>
      <c r="B9" s="2">
        <v>34312</v>
      </c>
      <c r="C9" s="1">
        <v>5</v>
      </c>
      <c r="D9" s="1">
        <v>26.99</v>
      </c>
      <c r="E9" s="3">
        <v>84</v>
      </c>
      <c r="F9" s="4">
        <f t="shared" si="0"/>
        <v>195.88262399999999</v>
      </c>
      <c r="I9" s="5"/>
      <c r="J9" s="6"/>
      <c r="K9" s="5"/>
    </row>
    <row r="10" spans="1:11" x14ac:dyDescent="0.25">
      <c r="A10" s="1">
        <v>6</v>
      </c>
      <c r="B10" s="2">
        <v>34339</v>
      </c>
      <c r="C10" s="1"/>
      <c r="D10" s="1">
        <v>30.09</v>
      </c>
      <c r="E10" s="3">
        <v>76</v>
      </c>
      <c r="F10" s="4">
        <f t="shared" si="0"/>
        <v>197.58297600000003</v>
      </c>
      <c r="I10" s="5"/>
      <c r="J10" s="6"/>
      <c r="K10" s="5"/>
    </row>
    <row r="11" spans="1:11" x14ac:dyDescent="0.25">
      <c r="A11" s="1">
        <v>7</v>
      </c>
      <c r="B11" s="2">
        <v>34493</v>
      </c>
      <c r="C11" s="1">
        <v>12.3</v>
      </c>
      <c r="D11" s="1">
        <v>19.100000000000001</v>
      </c>
      <c r="E11" s="3">
        <v>312</v>
      </c>
      <c r="F11" s="4">
        <f t="shared" si="0"/>
        <v>514.87488000000008</v>
      </c>
      <c r="I11" s="5"/>
      <c r="J11" s="6"/>
      <c r="K11" s="5"/>
    </row>
    <row r="12" spans="1:11" x14ac:dyDescent="0.25">
      <c r="A12" s="1">
        <v>8</v>
      </c>
      <c r="B12" s="2">
        <v>34527</v>
      </c>
      <c r="C12" s="1">
        <v>18.3</v>
      </c>
      <c r="D12" s="1">
        <v>3.7</v>
      </c>
      <c r="E12" s="3">
        <v>168</v>
      </c>
      <c r="F12" s="4">
        <f t="shared" si="0"/>
        <v>53.706240000000001</v>
      </c>
      <c r="I12" s="5"/>
      <c r="J12" s="6"/>
      <c r="K12" s="5"/>
    </row>
    <row r="13" spans="1:11" x14ac:dyDescent="0.25">
      <c r="A13" s="1">
        <v>9</v>
      </c>
      <c r="B13" s="2">
        <v>34548</v>
      </c>
      <c r="C13" s="1"/>
      <c r="D13" s="1">
        <v>3.5</v>
      </c>
      <c r="E13" s="3">
        <v>157</v>
      </c>
      <c r="F13" s="4">
        <f>0.0864*D13*E13</f>
        <v>47.476799999999997</v>
      </c>
      <c r="H13" s="60"/>
      <c r="I13" s="5"/>
      <c r="J13" s="6"/>
      <c r="K13" s="5"/>
    </row>
    <row r="14" spans="1:11" x14ac:dyDescent="0.25">
      <c r="A14" s="1">
        <v>10</v>
      </c>
      <c r="B14" s="2" t="s">
        <v>94</v>
      </c>
      <c r="C14" s="1"/>
      <c r="D14" s="1">
        <v>12.5</v>
      </c>
      <c r="E14" s="59">
        <v>481.48148148148147</v>
      </c>
      <c r="F14" s="4">
        <f t="shared" ref="F14:F20" si="1">0.0864*D14*E14</f>
        <v>520</v>
      </c>
      <c r="H14" s="60"/>
      <c r="I14" s="5"/>
      <c r="J14" s="6"/>
      <c r="K14" s="5"/>
    </row>
    <row r="15" spans="1:11" x14ac:dyDescent="0.25">
      <c r="A15" s="1">
        <v>11</v>
      </c>
      <c r="B15" s="2" t="s">
        <v>94</v>
      </c>
      <c r="C15" s="1"/>
      <c r="D15" s="1">
        <v>13.5</v>
      </c>
      <c r="E15" s="59">
        <v>188.6145404663923</v>
      </c>
      <c r="F15" s="4">
        <f t="shared" si="1"/>
        <v>220</v>
      </c>
      <c r="H15" s="60"/>
      <c r="I15" s="5"/>
      <c r="J15" s="6"/>
      <c r="K15" s="5"/>
    </row>
    <row r="16" spans="1:11" x14ac:dyDescent="0.25">
      <c r="A16" s="1">
        <v>12</v>
      </c>
      <c r="B16" s="2" t="s">
        <v>94</v>
      </c>
      <c r="C16" s="1"/>
      <c r="D16" s="1">
        <v>17</v>
      </c>
      <c r="E16" s="59">
        <v>748.91067538126356</v>
      </c>
      <c r="F16" s="4">
        <f t="shared" si="1"/>
        <v>1100</v>
      </c>
      <c r="H16" s="60"/>
      <c r="I16" s="5"/>
      <c r="J16" s="6"/>
      <c r="K16" s="5"/>
    </row>
    <row r="17" spans="1:11" x14ac:dyDescent="0.25">
      <c r="A17" s="1">
        <v>13</v>
      </c>
      <c r="B17" s="2" t="s">
        <v>94</v>
      </c>
      <c r="C17" s="1"/>
      <c r="D17" s="1">
        <v>17.2</v>
      </c>
      <c r="E17" s="59">
        <v>679.64039621016366</v>
      </c>
      <c r="F17" s="4">
        <f t="shared" si="1"/>
        <v>1010</v>
      </c>
      <c r="H17" s="60"/>
      <c r="I17" s="5"/>
      <c r="J17" s="6"/>
      <c r="K17" s="5"/>
    </row>
    <row r="18" spans="1:11" x14ac:dyDescent="0.25">
      <c r="A18" s="1">
        <v>14</v>
      </c>
      <c r="B18" s="2" t="s">
        <v>94</v>
      </c>
      <c r="C18" s="1"/>
      <c r="D18" s="1">
        <v>20.5</v>
      </c>
      <c r="E18" s="59">
        <v>304.8780487804878</v>
      </c>
      <c r="F18" s="4">
        <f t="shared" si="1"/>
        <v>540</v>
      </c>
      <c r="H18" s="60"/>
      <c r="I18" s="5"/>
      <c r="J18" s="6"/>
      <c r="K18" s="5"/>
    </row>
    <row r="19" spans="1:11" x14ac:dyDescent="0.25">
      <c r="A19" s="1">
        <v>15</v>
      </c>
      <c r="B19" s="2" t="s">
        <v>94</v>
      </c>
      <c r="C19" s="1"/>
      <c r="D19" s="1">
        <v>22</v>
      </c>
      <c r="E19" s="59">
        <v>284.09090909090907</v>
      </c>
      <c r="F19" s="4">
        <f t="shared" si="1"/>
        <v>540</v>
      </c>
      <c r="H19" s="60"/>
      <c r="I19" s="5"/>
      <c r="J19" s="6"/>
      <c r="K19" s="5"/>
    </row>
    <row r="20" spans="1:11" x14ac:dyDescent="0.25">
      <c r="A20" s="1">
        <v>16</v>
      </c>
      <c r="B20" s="2" t="s">
        <v>94</v>
      </c>
      <c r="C20" s="1"/>
      <c r="D20" s="1">
        <v>32</v>
      </c>
      <c r="E20" s="59">
        <v>1302.0833333333333</v>
      </c>
      <c r="F20" s="4">
        <f t="shared" si="1"/>
        <v>3600</v>
      </c>
      <c r="H20" s="60"/>
      <c r="I20" s="5"/>
      <c r="J20" s="6"/>
      <c r="K20" s="5"/>
    </row>
    <row r="21" spans="1:11" x14ac:dyDescent="0.25">
      <c r="A21" s="1">
        <v>17</v>
      </c>
      <c r="B21" s="2">
        <v>30388</v>
      </c>
      <c r="C21" s="1"/>
      <c r="D21" s="1">
        <v>6.88</v>
      </c>
      <c r="E21" s="3">
        <v>47</v>
      </c>
      <c r="F21" s="4">
        <f>0.0864*D21*E21</f>
        <v>27.938304000000002</v>
      </c>
      <c r="H21" s="60"/>
      <c r="I21" s="5"/>
      <c r="J21" s="6"/>
      <c r="K21" s="5"/>
    </row>
    <row r="22" spans="1:11" x14ac:dyDescent="0.25">
      <c r="A22" s="1">
        <v>18</v>
      </c>
      <c r="B22" s="2">
        <v>30388</v>
      </c>
      <c r="C22" s="1"/>
      <c r="D22" s="1">
        <v>7.11</v>
      </c>
      <c r="E22" s="3">
        <v>73</v>
      </c>
      <c r="F22" s="4">
        <f t="shared" ref="F22:F29" si="2">0.0864*D22*E22</f>
        <v>44.844192000000007</v>
      </c>
      <c r="I22" s="5"/>
      <c r="J22" s="6"/>
      <c r="K22" s="5"/>
    </row>
    <row r="23" spans="1:11" x14ac:dyDescent="0.25">
      <c r="A23" s="1">
        <v>19</v>
      </c>
      <c r="B23" s="2">
        <v>30391</v>
      </c>
      <c r="C23" s="1"/>
      <c r="D23" s="1">
        <v>2.81</v>
      </c>
      <c r="E23" s="3">
        <v>43</v>
      </c>
      <c r="F23" s="4">
        <f t="shared" si="2"/>
        <v>10.439712000000002</v>
      </c>
      <c r="I23" s="5"/>
      <c r="J23" s="6"/>
      <c r="K23" s="5"/>
    </row>
    <row r="24" spans="1:11" x14ac:dyDescent="0.25">
      <c r="A24" s="1">
        <v>20</v>
      </c>
      <c r="B24" s="2">
        <v>30391</v>
      </c>
      <c r="C24" s="1"/>
      <c r="D24" s="1">
        <v>2.67</v>
      </c>
      <c r="E24" s="3">
        <v>47</v>
      </c>
      <c r="F24" s="4">
        <f t="shared" si="2"/>
        <v>10.842336</v>
      </c>
      <c r="I24" s="5"/>
      <c r="J24" s="6"/>
      <c r="K24" s="5"/>
    </row>
    <row r="25" spans="1:11" x14ac:dyDescent="0.25">
      <c r="A25" s="1">
        <v>21</v>
      </c>
      <c r="B25" s="2">
        <v>30150</v>
      </c>
      <c r="C25" s="1"/>
      <c r="D25" s="1">
        <v>6.88</v>
      </c>
      <c r="E25" s="3">
        <v>109</v>
      </c>
      <c r="F25" s="4">
        <f t="shared" si="2"/>
        <v>64.793088000000012</v>
      </c>
      <c r="I25" s="5"/>
      <c r="J25" s="6"/>
      <c r="K25" s="5"/>
    </row>
    <row r="26" spans="1:11" x14ac:dyDescent="0.25">
      <c r="A26" s="1">
        <v>22</v>
      </c>
      <c r="B26" s="2">
        <v>30653</v>
      </c>
      <c r="C26" s="1"/>
      <c r="D26" s="1">
        <v>1.82</v>
      </c>
      <c r="E26" s="3">
        <v>28</v>
      </c>
      <c r="F26" s="4">
        <f t="shared" si="2"/>
        <v>4.4029440000000006</v>
      </c>
      <c r="I26" s="5"/>
      <c r="J26" s="6"/>
      <c r="K26" s="5"/>
    </row>
    <row r="27" spans="1:11" x14ac:dyDescent="0.25">
      <c r="A27" s="1">
        <v>23</v>
      </c>
      <c r="B27" s="2">
        <v>30653</v>
      </c>
      <c r="C27" s="1"/>
      <c r="D27" s="1">
        <v>1.61</v>
      </c>
      <c r="E27" s="3">
        <v>41</v>
      </c>
      <c r="F27" s="4">
        <f t="shared" si="2"/>
        <v>5.7032639999999999</v>
      </c>
      <c r="I27" s="5"/>
      <c r="J27" s="6"/>
      <c r="K27" s="5"/>
    </row>
    <row r="28" spans="1:11" x14ac:dyDescent="0.25">
      <c r="A28" s="1">
        <v>24</v>
      </c>
      <c r="B28" s="2">
        <v>30392</v>
      </c>
      <c r="C28" s="1"/>
      <c r="D28" s="1">
        <v>3.19</v>
      </c>
      <c r="E28" s="3">
        <v>50</v>
      </c>
      <c r="F28" s="4">
        <f t="shared" si="2"/>
        <v>13.780800000000001</v>
      </c>
      <c r="I28" s="5"/>
      <c r="J28" s="6"/>
      <c r="K28" s="5"/>
    </row>
    <row r="29" spans="1:11" x14ac:dyDescent="0.25">
      <c r="A29" s="1">
        <v>25</v>
      </c>
      <c r="B29" s="2">
        <v>30392</v>
      </c>
      <c r="C29" s="1"/>
      <c r="D29" s="1">
        <v>3.71</v>
      </c>
      <c r="E29" s="3">
        <v>152</v>
      </c>
      <c r="F29" s="4">
        <f t="shared" si="2"/>
        <v>48.722687999999998</v>
      </c>
      <c r="I29" s="5"/>
      <c r="J29" s="6"/>
      <c r="K29" s="5"/>
    </row>
    <row r="32" spans="1:11" x14ac:dyDescent="0.25">
      <c r="F32" t="s">
        <v>8</v>
      </c>
      <c r="J32" s="7" t="s">
        <v>52</v>
      </c>
    </row>
    <row r="33" spans="1:12" ht="16.5" x14ac:dyDescent="0.3">
      <c r="F33" s="75" t="s">
        <v>62</v>
      </c>
      <c r="G33" s="75"/>
      <c r="H33" s="75"/>
      <c r="I33" s="75"/>
      <c r="J33" s="75"/>
      <c r="K33" s="75"/>
      <c r="L33" s="75"/>
    </row>
    <row r="34" spans="1:12" ht="49.5" x14ac:dyDescent="0.25">
      <c r="A34" s="8" t="s">
        <v>9</v>
      </c>
      <c r="B34" s="8" t="s">
        <v>10</v>
      </c>
      <c r="C34" s="8"/>
      <c r="D34" s="8" t="s">
        <v>11</v>
      </c>
      <c r="F34" s="8" t="s">
        <v>12</v>
      </c>
      <c r="G34" s="8" t="s">
        <v>13</v>
      </c>
      <c r="H34" s="8" t="s">
        <v>14</v>
      </c>
      <c r="I34" s="8" t="s">
        <v>10</v>
      </c>
      <c r="J34" s="8" t="s">
        <v>15</v>
      </c>
      <c r="K34" s="8" t="s">
        <v>16</v>
      </c>
      <c r="L34" s="8" t="s">
        <v>17</v>
      </c>
    </row>
    <row r="35" spans="1:12" ht="16.5" x14ac:dyDescent="0.3">
      <c r="A35" s="9">
        <v>1</v>
      </c>
      <c r="B35" s="10">
        <v>252.29572082301041</v>
      </c>
      <c r="C35" s="11"/>
      <c r="D35" s="10">
        <f>(A35/30)*100</f>
        <v>3.3333333333333335</v>
      </c>
      <c r="F35" s="12" t="s">
        <v>18</v>
      </c>
      <c r="G35" s="12">
        <v>0.02</v>
      </c>
      <c r="H35" s="13">
        <v>0.01</v>
      </c>
      <c r="I35" s="14">
        <f>B35</f>
        <v>252.29572082301041</v>
      </c>
      <c r="J35" s="27">
        <f>2.6637*(I35^1.721)</f>
        <v>36238.667645511792</v>
      </c>
      <c r="K35" s="27">
        <f>G35*I35*0.01</f>
        <v>5.0459144164602086E-2</v>
      </c>
      <c r="L35" s="27">
        <f>G35*J35*0.01</f>
        <v>7.2477335291023586</v>
      </c>
    </row>
    <row r="36" spans="1:12" ht="16.5" x14ac:dyDescent="0.3">
      <c r="A36" s="9">
        <v>2</v>
      </c>
      <c r="B36" s="10">
        <v>141.82770073384421</v>
      </c>
      <c r="C36" s="11"/>
      <c r="D36" s="10">
        <f t="shared" ref="D36:D64" si="3">(A36/30)*100</f>
        <v>6.666666666666667</v>
      </c>
      <c r="F36" s="12" t="s">
        <v>19</v>
      </c>
      <c r="G36" s="12">
        <v>0.08</v>
      </c>
      <c r="H36" s="13">
        <v>0.06</v>
      </c>
      <c r="I36" s="14">
        <f>B35</f>
        <v>252.29572082301041</v>
      </c>
      <c r="J36" s="27">
        <f t="shared" ref="J36:J54" si="4">2.6637*(I36^1.721)</f>
        <v>36238.667645511792</v>
      </c>
      <c r="K36" s="27">
        <f t="shared" ref="K36:K54" si="5">G36*I36*0.01</f>
        <v>0.20183657665840835</v>
      </c>
      <c r="L36" s="27">
        <f t="shared" ref="L36:L54" si="6">G36*J36*0.01</f>
        <v>28.990934116409434</v>
      </c>
    </row>
    <row r="37" spans="1:12" ht="16.5" x14ac:dyDescent="0.3">
      <c r="A37" s="9">
        <v>3</v>
      </c>
      <c r="B37" s="10">
        <v>136.57060701945255</v>
      </c>
      <c r="C37" s="11"/>
      <c r="D37" s="10">
        <f t="shared" si="3"/>
        <v>10</v>
      </c>
      <c r="F37" s="12" t="s">
        <v>20</v>
      </c>
      <c r="G37" s="12">
        <v>0.4</v>
      </c>
      <c r="H37" s="13">
        <v>0.3</v>
      </c>
      <c r="I37" s="14">
        <f>B35</f>
        <v>252.29572082301041</v>
      </c>
      <c r="J37" s="27">
        <f t="shared" si="4"/>
        <v>36238.667645511792</v>
      </c>
      <c r="K37" s="27">
        <f t="shared" si="5"/>
        <v>1.0091828832920418</v>
      </c>
      <c r="L37" s="27">
        <f t="shared" si="6"/>
        <v>144.95467058204719</v>
      </c>
    </row>
    <row r="38" spans="1:12" ht="16.5" x14ac:dyDescent="0.3">
      <c r="A38" s="9">
        <v>4</v>
      </c>
      <c r="B38" s="10">
        <v>108.28610925339865</v>
      </c>
      <c r="C38" s="11"/>
      <c r="D38" s="10">
        <f t="shared" si="3"/>
        <v>13.333333333333334</v>
      </c>
      <c r="F38" s="12" t="s">
        <v>21</v>
      </c>
      <c r="G38" s="12">
        <v>0.25</v>
      </c>
      <c r="H38" s="13">
        <v>0.63</v>
      </c>
      <c r="I38" s="14">
        <f>B35</f>
        <v>252.29572082301041</v>
      </c>
      <c r="J38" s="27">
        <f t="shared" si="4"/>
        <v>36238.667645511792</v>
      </c>
      <c r="K38" s="27">
        <f t="shared" si="5"/>
        <v>0.63073930205752604</v>
      </c>
      <c r="L38" s="27">
        <f t="shared" si="6"/>
        <v>90.596669113779484</v>
      </c>
    </row>
    <row r="39" spans="1:12" ht="16.5" x14ac:dyDescent="0.3">
      <c r="A39" s="9">
        <v>5</v>
      </c>
      <c r="B39" s="10">
        <v>104.41199446386209</v>
      </c>
      <c r="C39" s="11"/>
      <c r="D39" s="10">
        <f t="shared" si="3"/>
        <v>16.666666666666664</v>
      </c>
      <c r="F39" s="12" t="s">
        <v>22</v>
      </c>
      <c r="G39" s="12">
        <v>0.75</v>
      </c>
      <c r="H39" s="13">
        <v>1.1299999999999999</v>
      </c>
      <c r="I39" s="14">
        <f>B35</f>
        <v>252.29572082301041</v>
      </c>
      <c r="J39" s="27">
        <f t="shared" si="4"/>
        <v>36238.667645511792</v>
      </c>
      <c r="K39" s="27">
        <f t="shared" si="5"/>
        <v>1.8922179061725779</v>
      </c>
      <c r="L39" s="27">
        <f t="shared" si="6"/>
        <v>271.79000734133842</v>
      </c>
    </row>
    <row r="40" spans="1:12" ht="16.5" x14ac:dyDescent="0.3">
      <c r="A40" s="9">
        <v>6</v>
      </c>
      <c r="B40" s="10">
        <v>103.45021755278559</v>
      </c>
      <c r="C40" s="11"/>
      <c r="D40" s="10">
        <f t="shared" si="3"/>
        <v>20</v>
      </c>
      <c r="F40" s="12" t="s">
        <v>23</v>
      </c>
      <c r="G40" s="12">
        <v>3.5</v>
      </c>
      <c r="H40" s="13">
        <v>3.25</v>
      </c>
      <c r="I40" s="14">
        <f>B35</f>
        <v>252.29572082301041</v>
      </c>
      <c r="J40" s="27">
        <f t="shared" si="4"/>
        <v>36238.667645511792</v>
      </c>
      <c r="K40" s="27">
        <f t="shared" si="5"/>
        <v>8.830350228805365</v>
      </c>
      <c r="L40" s="27">
        <f t="shared" si="6"/>
        <v>1268.3533675929127</v>
      </c>
    </row>
    <row r="41" spans="1:12" ht="16.5" x14ac:dyDescent="0.3">
      <c r="A41" s="9">
        <v>7</v>
      </c>
      <c r="B41" s="10">
        <v>101.53483410948974</v>
      </c>
      <c r="C41" s="11"/>
      <c r="D41" s="10">
        <f t="shared" si="3"/>
        <v>23.333333333333332</v>
      </c>
      <c r="F41" s="12" t="s">
        <v>24</v>
      </c>
      <c r="G41" s="12">
        <v>10</v>
      </c>
      <c r="H41" s="13">
        <v>10</v>
      </c>
      <c r="I41" s="14">
        <f>B37</f>
        <v>136.57060701945255</v>
      </c>
      <c r="J41" s="27">
        <f t="shared" si="4"/>
        <v>12601.873631184855</v>
      </c>
      <c r="K41" s="27">
        <f t="shared" si="5"/>
        <v>13.657060701945257</v>
      </c>
      <c r="L41" s="27">
        <f t="shared" si="6"/>
        <v>1260.1873631184856</v>
      </c>
    </row>
    <row r="42" spans="1:12" ht="16.5" x14ac:dyDescent="0.3">
      <c r="A42" s="9">
        <v>8</v>
      </c>
      <c r="B42" s="10">
        <v>95.854772183642368</v>
      </c>
      <c r="C42" s="11"/>
      <c r="D42" s="10">
        <f t="shared" si="3"/>
        <v>26.666666666666668</v>
      </c>
      <c r="F42" s="12" t="s">
        <v>25</v>
      </c>
      <c r="G42" s="12">
        <v>10</v>
      </c>
      <c r="H42" s="13">
        <v>20</v>
      </c>
      <c r="I42" s="14">
        <f>B40</f>
        <v>103.45021755278559</v>
      </c>
      <c r="J42" s="27">
        <f t="shared" si="4"/>
        <v>7813.3641298943257</v>
      </c>
      <c r="K42" s="27">
        <f t="shared" si="5"/>
        <v>10.345021755278559</v>
      </c>
      <c r="L42" s="27">
        <f t="shared" si="6"/>
        <v>781.33641298943257</v>
      </c>
    </row>
    <row r="43" spans="1:12" ht="16.5" x14ac:dyDescent="0.3">
      <c r="A43" s="9">
        <v>9</v>
      </c>
      <c r="B43" s="10">
        <v>75.909757381938547</v>
      </c>
      <c r="C43" s="11"/>
      <c r="D43" s="10">
        <f t="shared" si="3"/>
        <v>30</v>
      </c>
      <c r="F43" s="12" t="s">
        <v>26</v>
      </c>
      <c r="G43" s="12">
        <v>10</v>
      </c>
      <c r="H43" s="13">
        <v>30</v>
      </c>
      <c r="I43" s="14">
        <f>B43</f>
        <v>75.909757381938547</v>
      </c>
      <c r="J43" s="27">
        <f t="shared" si="4"/>
        <v>4586.4586889712718</v>
      </c>
      <c r="K43" s="27">
        <f t="shared" si="5"/>
        <v>7.5909757381938547</v>
      </c>
      <c r="L43" s="27">
        <f t="shared" si="6"/>
        <v>458.64586889712723</v>
      </c>
    </row>
    <row r="44" spans="1:12" ht="16.5" x14ac:dyDescent="0.3">
      <c r="A44" s="9">
        <v>10</v>
      </c>
      <c r="B44" s="10">
        <v>73.302011262042029</v>
      </c>
      <c r="C44" s="11"/>
      <c r="D44" s="10">
        <f t="shared" si="3"/>
        <v>33.333333333333329</v>
      </c>
      <c r="F44" s="12" t="s">
        <v>27</v>
      </c>
      <c r="G44" s="12">
        <v>10</v>
      </c>
      <c r="H44" s="13">
        <v>40</v>
      </c>
      <c r="I44" s="14">
        <f>B46</f>
        <v>68.170917816049382</v>
      </c>
      <c r="J44" s="27">
        <f t="shared" si="4"/>
        <v>3811.6185565957289</v>
      </c>
      <c r="K44" s="27">
        <f t="shared" si="5"/>
        <v>6.8170917816049386</v>
      </c>
      <c r="L44" s="27">
        <f t="shared" si="6"/>
        <v>381.16185565957289</v>
      </c>
    </row>
    <row r="45" spans="1:12" ht="16.5" x14ac:dyDescent="0.3">
      <c r="A45" s="9">
        <v>11</v>
      </c>
      <c r="B45" s="10">
        <v>69.018187449677754</v>
      </c>
      <c r="C45" s="11"/>
      <c r="D45" s="10">
        <f t="shared" si="3"/>
        <v>36.666666666666664</v>
      </c>
      <c r="F45" s="12" t="s">
        <v>28</v>
      </c>
      <c r="G45" s="12">
        <v>10</v>
      </c>
      <c r="H45" s="13">
        <v>50</v>
      </c>
      <c r="I45" s="14">
        <f>B49</f>
        <v>66.485995477302723</v>
      </c>
      <c r="J45" s="27">
        <f t="shared" si="4"/>
        <v>3650.9336728510257</v>
      </c>
      <c r="K45" s="27">
        <f t="shared" si="5"/>
        <v>6.6485995477302717</v>
      </c>
      <c r="L45" s="27">
        <f t="shared" si="6"/>
        <v>365.0933672851026</v>
      </c>
    </row>
    <row r="46" spans="1:12" ht="16.5" x14ac:dyDescent="0.3">
      <c r="A46" s="9">
        <v>12</v>
      </c>
      <c r="B46" s="10">
        <v>68.170917816049382</v>
      </c>
      <c r="C46" s="11"/>
      <c r="D46" s="10">
        <f t="shared" si="3"/>
        <v>40</v>
      </c>
      <c r="F46" s="12" t="s">
        <v>29</v>
      </c>
      <c r="G46" s="12">
        <v>10</v>
      </c>
      <c r="H46" s="13">
        <v>60</v>
      </c>
      <c r="I46" s="14">
        <f>B52</f>
        <v>63.982891262973887</v>
      </c>
      <c r="J46" s="27">
        <f t="shared" si="4"/>
        <v>3417.599879443178</v>
      </c>
      <c r="K46" s="27">
        <f t="shared" si="5"/>
        <v>6.3982891262973887</v>
      </c>
      <c r="L46" s="27">
        <f t="shared" si="6"/>
        <v>341.75998794431786</v>
      </c>
    </row>
    <row r="47" spans="1:12" ht="16.5" x14ac:dyDescent="0.3">
      <c r="A47" s="9">
        <v>13</v>
      </c>
      <c r="B47" s="10">
        <v>68.170917816049382</v>
      </c>
      <c r="C47" s="11"/>
      <c r="D47" s="10">
        <f t="shared" si="3"/>
        <v>43.333333333333336</v>
      </c>
      <c r="F47" s="12" t="s">
        <v>30</v>
      </c>
      <c r="G47" s="12">
        <v>10</v>
      </c>
      <c r="H47" s="13">
        <v>70</v>
      </c>
      <c r="I47" s="14">
        <f>B55</f>
        <v>60.691427255056595</v>
      </c>
      <c r="J47" s="27">
        <f t="shared" si="4"/>
        <v>3120.6673798251209</v>
      </c>
      <c r="K47" s="27">
        <f t="shared" si="5"/>
        <v>6.0691427255056603</v>
      </c>
      <c r="L47" s="27">
        <f t="shared" si="6"/>
        <v>312.06673798251211</v>
      </c>
    </row>
    <row r="48" spans="1:12" ht="16.5" x14ac:dyDescent="0.3">
      <c r="A48" s="9">
        <v>14</v>
      </c>
      <c r="B48" s="10">
        <v>67.326848630840757</v>
      </c>
      <c r="C48" s="11"/>
      <c r="D48" s="10">
        <f t="shared" si="3"/>
        <v>46.666666666666664</v>
      </c>
      <c r="F48" s="12" t="s">
        <v>31</v>
      </c>
      <c r="G48" s="12">
        <v>10</v>
      </c>
      <c r="H48" s="13">
        <v>80</v>
      </c>
      <c r="I48" s="14">
        <f>B58</f>
        <v>59.065719144021514</v>
      </c>
      <c r="J48" s="27">
        <f t="shared" si="4"/>
        <v>2978.1989030766308</v>
      </c>
      <c r="K48" s="27">
        <f t="shared" si="5"/>
        <v>5.9065719144021509</v>
      </c>
      <c r="L48" s="27">
        <f t="shared" si="6"/>
        <v>297.81989030766312</v>
      </c>
    </row>
    <row r="49" spans="1:12" ht="16.5" x14ac:dyDescent="0.3">
      <c r="A49" s="9">
        <v>15</v>
      </c>
      <c r="B49" s="10">
        <v>66.485995477302723</v>
      </c>
      <c r="C49" s="11"/>
      <c r="D49" s="10">
        <f t="shared" si="3"/>
        <v>50</v>
      </c>
      <c r="F49" s="12" t="s">
        <v>32</v>
      </c>
      <c r="G49" s="12">
        <v>10</v>
      </c>
      <c r="H49" s="13">
        <v>90</v>
      </c>
      <c r="I49" s="14">
        <f>B61</f>
        <v>55.855063709897983</v>
      </c>
      <c r="J49" s="27">
        <f t="shared" si="4"/>
        <v>2705.079055844169</v>
      </c>
      <c r="K49" s="27">
        <f t="shared" si="5"/>
        <v>5.5855063709897976</v>
      </c>
      <c r="L49" s="27">
        <f t="shared" si="6"/>
        <v>270.5079055844169</v>
      </c>
    </row>
    <row r="50" spans="1:12" ht="16.5" x14ac:dyDescent="0.3">
      <c r="A50" s="9">
        <v>16</v>
      </c>
      <c r="B50" s="10">
        <v>65.648374151665706</v>
      </c>
      <c r="C50" s="11"/>
      <c r="D50" s="10">
        <f t="shared" si="3"/>
        <v>53.333333333333336</v>
      </c>
      <c r="F50" s="12" t="s">
        <v>33</v>
      </c>
      <c r="G50" s="12">
        <v>3.5</v>
      </c>
      <c r="H50" s="13">
        <v>96.75</v>
      </c>
      <c r="I50" s="14">
        <f>$B$64</f>
        <v>51.143254707777515</v>
      </c>
      <c r="J50" s="27">
        <f t="shared" si="4"/>
        <v>2324.3958043117273</v>
      </c>
      <c r="K50" s="27">
        <f t="shared" si="5"/>
        <v>1.7900139147722132</v>
      </c>
      <c r="L50" s="27">
        <f t="shared" si="6"/>
        <v>81.353853150910453</v>
      </c>
    </row>
    <row r="51" spans="1:12" ht="16.5" x14ac:dyDescent="0.3">
      <c r="A51" s="9">
        <v>17</v>
      </c>
      <c r="B51" s="10">
        <v>64.814000667957473</v>
      </c>
      <c r="C51" s="11"/>
      <c r="D51" s="10">
        <f t="shared" si="3"/>
        <v>56.666666666666664</v>
      </c>
      <c r="F51" s="12" t="s">
        <v>34</v>
      </c>
      <c r="G51" s="12">
        <v>1</v>
      </c>
      <c r="H51" s="13">
        <v>99</v>
      </c>
      <c r="I51" s="14">
        <f t="shared" ref="I51:I54" si="7">$B$64</f>
        <v>51.143254707777515</v>
      </c>
      <c r="J51" s="27">
        <f t="shared" si="4"/>
        <v>2324.3958043117273</v>
      </c>
      <c r="K51" s="27">
        <f t="shared" si="5"/>
        <v>0.51143254707777519</v>
      </c>
      <c r="L51" s="27">
        <f t="shared" si="6"/>
        <v>23.243958043117274</v>
      </c>
    </row>
    <row r="52" spans="1:12" ht="16.5" x14ac:dyDescent="0.3">
      <c r="A52" s="9">
        <v>18</v>
      </c>
      <c r="B52" s="10">
        <v>63.982891262973887</v>
      </c>
      <c r="C52" s="11"/>
      <c r="D52" s="10">
        <f t="shared" si="3"/>
        <v>60</v>
      </c>
      <c r="F52" s="12" t="s">
        <v>35</v>
      </c>
      <c r="G52" s="12">
        <v>0.4</v>
      </c>
      <c r="H52" s="13">
        <v>99.7</v>
      </c>
      <c r="I52" s="14">
        <f t="shared" si="7"/>
        <v>51.143254707777515</v>
      </c>
      <c r="J52" s="27">
        <f t="shared" si="4"/>
        <v>2324.3958043117273</v>
      </c>
      <c r="K52" s="27">
        <f t="shared" si="5"/>
        <v>0.20457301883111009</v>
      </c>
      <c r="L52" s="27">
        <f t="shared" si="6"/>
        <v>9.2975832172469097</v>
      </c>
    </row>
    <row r="53" spans="1:12" ht="16.5" x14ac:dyDescent="0.3">
      <c r="A53" s="9">
        <v>19</v>
      </c>
      <c r="B53" s="10">
        <v>61.509313338745784</v>
      </c>
      <c r="C53" s="11"/>
      <c r="D53" s="10">
        <f t="shared" si="3"/>
        <v>63.333333333333329</v>
      </c>
      <c r="F53" s="12" t="s">
        <v>36</v>
      </c>
      <c r="G53" s="12">
        <v>0.08</v>
      </c>
      <c r="H53" s="13">
        <v>99.94</v>
      </c>
      <c r="I53" s="14">
        <f t="shared" si="7"/>
        <v>51.143254707777515</v>
      </c>
      <c r="J53" s="27">
        <f t="shared" si="4"/>
        <v>2324.3958043117273</v>
      </c>
      <c r="K53" s="27">
        <f t="shared" si="5"/>
        <v>4.0914603766222017E-2</v>
      </c>
      <c r="L53" s="27">
        <f t="shared" si="6"/>
        <v>1.8595166434493819</v>
      </c>
    </row>
    <row r="54" spans="1:12" ht="16.5" x14ac:dyDescent="0.3">
      <c r="A54" s="9">
        <v>20</v>
      </c>
      <c r="B54" s="10">
        <v>60.691427255056595</v>
      </c>
      <c r="C54" s="11"/>
      <c r="D54" s="10">
        <f t="shared" si="3"/>
        <v>66.666666666666657</v>
      </c>
      <c r="F54" s="12" t="s">
        <v>37</v>
      </c>
      <c r="G54" s="12">
        <v>0.02</v>
      </c>
      <c r="H54" s="13">
        <v>99.99</v>
      </c>
      <c r="I54" s="14">
        <f t="shared" si="7"/>
        <v>51.143254707777515</v>
      </c>
      <c r="J54" s="27">
        <f t="shared" si="4"/>
        <v>2324.3958043117273</v>
      </c>
      <c r="K54" s="27">
        <f t="shared" si="5"/>
        <v>1.0228650941555504E-2</v>
      </c>
      <c r="L54" s="27">
        <f t="shared" si="6"/>
        <v>0.46487916086234549</v>
      </c>
    </row>
    <row r="55" spans="1:12" ht="16.5" x14ac:dyDescent="0.3">
      <c r="A55" s="9">
        <v>21</v>
      </c>
      <c r="B55" s="10">
        <v>60.691427255056595</v>
      </c>
      <c r="C55" s="11"/>
      <c r="D55" s="10">
        <f t="shared" si="3"/>
        <v>70</v>
      </c>
      <c r="F55" s="70" t="s">
        <v>38</v>
      </c>
      <c r="G55" s="71"/>
      <c r="H55" s="71"/>
      <c r="I55" s="71"/>
      <c r="J55" s="72"/>
      <c r="K55" s="15">
        <f>SUM(K35:K54)</f>
        <v>84.190208438487275</v>
      </c>
      <c r="L55" s="27">
        <f>SUM(L35:L54)</f>
        <v>6396.7325622598064</v>
      </c>
    </row>
    <row r="56" spans="1:12" ht="16.5" x14ac:dyDescent="0.3">
      <c r="A56" s="9">
        <v>22</v>
      </c>
      <c r="B56" s="10">
        <v>60.691427255056595</v>
      </c>
      <c r="C56" s="11"/>
      <c r="D56" s="10">
        <f t="shared" si="3"/>
        <v>73.333333333333329</v>
      </c>
    </row>
    <row r="57" spans="1:12" ht="16.5" x14ac:dyDescent="0.3">
      <c r="A57" s="9">
        <v>23</v>
      </c>
      <c r="B57" s="10">
        <v>59.065719144021514</v>
      </c>
      <c r="C57" s="11"/>
      <c r="D57" s="10">
        <f t="shared" si="3"/>
        <v>76.666666666666671</v>
      </c>
      <c r="H57" t="s">
        <v>95</v>
      </c>
      <c r="J57">
        <f>L55*31</f>
        <v>198298.709430054</v>
      </c>
    </row>
    <row r="58" spans="1:12" ht="16.5" x14ac:dyDescent="0.3">
      <c r="A58" s="9">
        <v>24</v>
      </c>
      <c r="B58" s="10">
        <v>59.065719144021514</v>
      </c>
      <c r="C58" s="11"/>
      <c r="D58" s="10">
        <f t="shared" si="3"/>
        <v>80</v>
      </c>
    </row>
    <row r="59" spans="1:12" ht="16.5" x14ac:dyDescent="0.3">
      <c r="A59" s="9">
        <v>25</v>
      </c>
      <c r="B59" s="10">
        <v>57.453549007844892</v>
      </c>
      <c r="C59" s="11"/>
      <c r="D59" s="10">
        <f t="shared" si="3"/>
        <v>83.333333333333343</v>
      </c>
      <c r="F59" t="s">
        <v>39</v>
      </c>
    </row>
    <row r="60" spans="1:12" ht="16.5" x14ac:dyDescent="0.3">
      <c r="A60" s="9">
        <v>26</v>
      </c>
      <c r="B60" s="10">
        <v>57.453549007844892</v>
      </c>
      <c r="C60" s="11"/>
      <c r="D60" s="10">
        <f t="shared" si="3"/>
        <v>86.666666666666671</v>
      </c>
      <c r="F60" t="s">
        <v>40</v>
      </c>
      <c r="G60" t="s">
        <v>41</v>
      </c>
      <c r="J60" s="16">
        <v>207500000</v>
      </c>
    </row>
    <row r="61" spans="1:12" ht="16.5" x14ac:dyDescent="0.3">
      <c r="A61" s="9">
        <v>27</v>
      </c>
      <c r="B61" s="10">
        <v>55.855063709897983</v>
      </c>
      <c r="C61" s="11"/>
      <c r="D61" s="10">
        <f t="shared" si="3"/>
        <v>90</v>
      </c>
      <c r="F61" t="s">
        <v>42</v>
      </c>
      <c r="G61" t="s">
        <v>43</v>
      </c>
      <c r="J61" s="16">
        <f>J64*365*24*60*60</f>
        <v>2073640564.2848647</v>
      </c>
    </row>
    <row r="62" spans="1:12" ht="16.5" x14ac:dyDescent="0.3">
      <c r="A62" s="9">
        <v>28</v>
      </c>
      <c r="B62" s="10">
        <v>53.483327280996697</v>
      </c>
      <c r="C62" s="11"/>
      <c r="D62" s="10">
        <f t="shared" si="3"/>
        <v>93.333333333333329</v>
      </c>
      <c r="J62">
        <f>J60/J61</f>
        <v>0.10006555792448071</v>
      </c>
    </row>
    <row r="63" spans="1:12" ht="16.5" x14ac:dyDescent="0.3">
      <c r="A63" s="9">
        <v>29</v>
      </c>
      <c r="B63" s="10">
        <v>51.91972685189014</v>
      </c>
      <c r="C63" s="11"/>
      <c r="D63" s="10">
        <f t="shared" si="3"/>
        <v>96.666666666666671</v>
      </c>
    </row>
    <row r="64" spans="1:12" ht="16.5" x14ac:dyDescent="0.3">
      <c r="A64" s="9">
        <v>30</v>
      </c>
      <c r="B64" s="10">
        <v>51.143254707777515</v>
      </c>
      <c r="C64" s="11"/>
      <c r="D64" s="10">
        <f t="shared" si="3"/>
        <v>100</v>
      </c>
      <c r="J64" s="17">
        <f>AVERAGE(J65:J76)</f>
        <v>65.754710942569275</v>
      </c>
    </row>
    <row r="65" spans="1:10" ht="16.5" x14ac:dyDescent="0.3">
      <c r="A65" s="18"/>
      <c r="B65" s="19"/>
      <c r="C65" s="5"/>
      <c r="D65" s="19"/>
      <c r="J65" s="20">
        <v>81.912112034198387</v>
      </c>
    </row>
    <row r="66" spans="1:10" x14ac:dyDescent="0.25">
      <c r="A66" s="18"/>
      <c r="J66" s="20">
        <v>147.06140970147902</v>
      </c>
    </row>
    <row r="67" spans="1:10" ht="26.25" x14ac:dyDescent="0.25">
      <c r="A67" s="18"/>
      <c r="B67" s="1" t="s">
        <v>44</v>
      </c>
      <c r="C67" s="21">
        <f>K57</f>
        <v>0</v>
      </c>
      <c r="D67" s="21">
        <f>J57</f>
        <v>198298.709430054</v>
      </c>
      <c r="J67" s="20">
        <v>64.583431599478416</v>
      </c>
    </row>
    <row r="68" spans="1:10" ht="38.25" x14ac:dyDescent="0.25">
      <c r="A68" s="18"/>
      <c r="B68" s="22" t="s">
        <v>45</v>
      </c>
      <c r="C68" s="23">
        <v>0.1</v>
      </c>
      <c r="D68" s="23">
        <v>0.1</v>
      </c>
      <c r="J68" s="20">
        <v>69.114147486845226</v>
      </c>
    </row>
    <row r="69" spans="1:10" ht="16.5" x14ac:dyDescent="0.25">
      <c r="A69" s="18"/>
      <c r="B69" s="22" t="s">
        <v>46</v>
      </c>
      <c r="C69" s="14">
        <f>C67*C68</f>
        <v>0</v>
      </c>
      <c r="D69" s="14">
        <f>D67*D68</f>
        <v>19829.8709430054</v>
      </c>
      <c r="J69" s="20">
        <v>67.935586052460039</v>
      </c>
    </row>
    <row r="70" spans="1:10" ht="16.5" x14ac:dyDescent="0.25">
      <c r="A70" s="18"/>
      <c r="B70" s="1" t="s">
        <v>47</v>
      </c>
      <c r="C70" s="23">
        <v>0.92500000000000004</v>
      </c>
      <c r="D70" s="23">
        <v>0.88</v>
      </c>
      <c r="J70" s="20">
        <v>58.690042783852192</v>
      </c>
    </row>
    <row r="71" spans="1:10" ht="38.25" x14ac:dyDescent="0.25">
      <c r="A71" s="18"/>
      <c r="B71" s="22" t="s">
        <v>48</v>
      </c>
      <c r="C71" s="24">
        <f>C70*C67</f>
        <v>0</v>
      </c>
      <c r="D71" s="24">
        <f>D70*D67</f>
        <v>174502.86429844753</v>
      </c>
      <c r="J71" s="20">
        <v>41.391354907140759</v>
      </c>
    </row>
    <row r="72" spans="1:10" ht="38.25" x14ac:dyDescent="0.25">
      <c r="A72" s="18"/>
      <c r="B72" s="22" t="s">
        <v>49</v>
      </c>
      <c r="C72" s="24">
        <f>C71+C69</f>
        <v>0</v>
      </c>
      <c r="D72" s="24">
        <f>D71+D69</f>
        <v>194332.73524145293</v>
      </c>
      <c r="J72" s="20">
        <v>34.967758738057853</v>
      </c>
    </row>
    <row r="73" spans="1:10" ht="26.25" x14ac:dyDescent="0.25">
      <c r="A73" s="18"/>
      <c r="B73" s="25" t="s">
        <v>50</v>
      </c>
      <c r="C73" s="26">
        <f>(C72/C74)*50</f>
        <v>0</v>
      </c>
      <c r="D73" s="26">
        <f>(D72/D74)*50</f>
        <v>4498442.9454040034</v>
      </c>
      <c r="J73" s="20">
        <v>19.050827637795845</v>
      </c>
    </row>
    <row r="74" spans="1:10" ht="16.5" x14ac:dyDescent="0.25">
      <c r="A74" s="18"/>
      <c r="B74" s="1" t="s">
        <v>51</v>
      </c>
      <c r="C74" s="12">
        <v>1.1000000000000001</v>
      </c>
      <c r="D74" s="12">
        <v>2.16</v>
      </c>
      <c r="J74" s="20">
        <v>42.043342948179976</v>
      </c>
    </row>
    <row r="75" spans="1:10" x14ac:dyDescent="0.25">
      <c r="A75" s="18"/>
      <c r="J75" s="20">
        <v>109.92851715976649</v>
      </c>
    </row>
    <row r="76" spans="1:10" x14ac:dyDescent="0.25">
      <c r="A76" s="18"/>
      <c r="J76" s="20">
        <v>52.378000261576993</v>
      </c>
    </row>
    <row r="77" spans="1:10" x14ac:dyDescent="0.25">
      <c r="A77" s="18"/>
    </row>
    <row r="78" spans="1:10" x14ac:dyDescent="0.25">
      <c r="A78" s="18"/>
    </row>
    <row r="79" spans="1:10" x14ac:dyDescent="0.25">
      <c r="A79" s="18"/>
    </row>
    <row r="80" spans="1:10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</sheetData>
  <sortState ref="B16:B45">
    <sortCondition descending="1" ref="B16"/>
  </sortState>
  <mergeCells count="8">
    <mergeCell ref="F55:J55"/>
    <mergeCell ref="A3:A4"/>
    <mergeCell ref="B3:B4"/>
    <mergeCell ref="C3:C4"/>
    <mergeCell ref="D3:D4"/>
    <mergeCell ref="E3:E4"/>
    <mergeCell ref="F3:F4"/>
    <mergeCell ref="F33:L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6"/>
  <sheetViews>
    <sheetView topLeftCell="E31" zoomScaleNormal="100" workbookViewId="0">
      <selection activeCell="J39" sqref="J39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70.722266766203916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70.722266766203916</v>
      </c>
      <c r="J16" s="27">
        <f>2.6637*(I16^1.721)</f>
        <v>4060.4249047570397</v>
      </c>
      <c r="K16" s="27">
        <f>G16*I16*0.01</f>
        <v>1.4144453353240783E-2</v>
      </c>
      <c r="L16" s="27">
        <f>G16*J16*0.01</f>
        <v>0.81208498095140802</v>
      </c>
    </row>
    <row r="17" spans="1:12" ht="16.5" x14ac:dyDescent="0.3">
      <c r="A17" s="9">
        <v>2</v>
      </c>
      <c r="B17" s="10">
        <v>67.326848630840757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70.722266766203916</v>
      </c>
      <c r="J17" s="27">
        <f t="shared" ref="J17:J35" si="2">2.6637*(I17^1.721)</f>
        <v>4060.4249047570397</v>
      </c>
      <c r="K17" s="27">
        <f t="shared" ref="K17:K35" si="3">G17*I17*0.01</f>
        <v>5.6577813412963134E-2</v>
      </c>
      <c r="L17" s="27">
        <f t="shared" ref="L17:L35" si="4">G17*J17*0.01</f>
        <v>3.2483399238056321</v>
      </c>
    </row>
    <row r="18" spans="1:12" ht="16.5" x14ac:dyDescent="0.3">
      <c r="A18" s="9">
        <v>3</v>
      </c>
      <c r="B18" s="10">
        <v>65.648374151665706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70.722266766203916</v>
      </c>
      <c r="J18" s="27">
        <f t="shared" si="2"/>
        <v>4060.4249047570397</v>
      </c>
      <c r="K18" s="27">
        <f t="shared" si="3"/>
        <v>0.2828890670648157</v>
      </c>
      <c r="L18" s="27">
        <f t="shared" si="4"/>
        <v>16.241699619028161</v>
      </c>
    </row>
    <row r="19" spans="1:12" ht="16.5" x14ac:dyDescent="0.3">
      <c r="A19" s="9">
        <v>4</v>
      </c>
      <c r="B19" s="10">
        <v>62.330530781149662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70.722266766203916</v>
      </c>
      <c r="J19" s="27">
        <f t="shared" si="2"/>
        <v>4060.4249047570397</v>
      </c>
      <c r="K19" s="27">
        <f t="shared" si="3"/>
        <v>0.17680566691550978</v>
      </c>
      <c r="L19" s="27">
        <f t="shared" si="4"/>
        <v>10.1510622618926</v>
      </c>
    </row>
    <row r="20" spans="1:12" ht="16.5" x14ac:dyDescent="0.3">
      <c r="A20" s="9">
        <v>5</v>
      </c>
      <c r="B20" s="10">
        <v>57.453549007844892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70.722266766203916</v>
      </c>
      <c r="J20" s="27">
        <f t="shared" si="2"/>
        <v>4060.4249047570397</v>
      </c>
      <c r="K20" s="27">
        <f t="shared" si="3"/>
        <v>0.53041700074652942</v>
      </c>
      <c r="L20" s="27">
        <f t="shared" si="4"/>
        <v>30.453186785677801</v>
      </c>
    </row>
    <row r="21" spans="1:12" ht="16.5" x14ac:dyDescent="0.3">
      <c r="A21" s="9">
        <v>6</v>
      </c>
      <c r="B21" s="10">
        <v>55.061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70.722266766203916</v>
      </c>
      <c r="J21" s="27">
        <f t="shared" si="2"/>
        <v>4060.4249047570397</v>
      </c>
      <c r="K21" s="27">
        <f t="shared" si="3"/>
        <v>2.4752793368171373</v>
      </c>
      <c r="L21" s="27">
        <f t="shared" si="4"/>
        <v>142.11487166649638</v>
      </c>
    </row>
    <row r="22" spans="1:12" ht="16.5" x14ac:dyDescent="0.3">
      <c r="A22" s="9">
        <v>7</v>
      </c>
      <c r="B22" s="10">
        <v>55.061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65.648374151665706</v>
      </c>
      <c r="J22" s="27">
        <f t="shared" si="2"/>
        <v>3572.1342412828753</v>
      </c>
      <c r="K22" s="27">
        <f t="shared" si="3"/>
        <v>6.5648374151665712</v>
      </c>
      <c r="L22" s="27">
        <f t="shared" si="4"/>
        <v>357.2134241282875</v>
      </c>
    </row>
    <row r="23" spans="1:12" ht="16.5" x14ac:dyDescent="0.3">
      <c r="A23" s="9">
        <v>8</v>
      </c>
      <c r="B23" s="10">
        <v>51.143254707777515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55.061</v>
      </c>
      <c r="J23" s="27">
        <f t="shared" si="2"/>
        <v>2639.2346089680527</v>
      </c>
      <c r="K23" s="27">
        <f t="shared" si="3"/>
        <v>5.5061</v>
      </c>
      <c r="L23" s="27">
        <f t="shared" si="4"/>
        <v>263.9234608968053</v>
      </c>
    </row>
    <row r="24" spans="1:12" ht="16.5" x14ac:dyDescent="0.3">
      <c r="A24" s="9">
        <v>9</v>
      </c>
      <c r="B24" s="10">
        <v>48.835403251397587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48.835403251397587</v>
      </c>
      <c r="J24" s="27">
        <f t="shared" si="2"/>
        <v>2146.8310304341621</v>
      </c>
      <c r="K24" s="27">
        <f t="shared" si="3"/>
        <v>4.8835403251397587</v>
      </c>
      <c r="L24" s="27">
        <f t="shared" si="4"/>
        <v>214.6831030434162</v>
      </c>
    </row>
    <row r="25" spans="1:12" ht="16.5" x14ac:dyDescent="0.3">
      <c r="A25" s="9">
        <v>10</v>
      </c>
      <c r="B25" s="10">
        <v>47.315024109970565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46.560358352240591</v>
      </c>
      <c r="J25" s="27">
        <f t="shared" si="2"/>
        <v>1977.6133605050795</v>
      </c>
      <c r="K25" s="27">
        <f t="shared" si="3"/>
        <v>4.6560358352240589</v>
      </c>
      <c r="L25" s="27">
        <f t="shared" si="4"/>
        <v>197.76133605050796</v>
      </c>
    </row>
    <row r="26" spans="1:12" ht="16.5" x14ac:dyDescent="0.3">
      <c r="A26" s="9">
        <v>11</v>
      </c>
      <c r="B26" s="10">
        <v>46.560358352240591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42.843208488014191</v>
      </c>
      <c r="J26" s="27">
        <f t="shared" si="2"/>
        <v>1713.776608582848</v>
      </c>
      <c r="K26" s="27">
        <f t="shared" si="3"/>
        <v>4.2843208488014195</v>
      </c>
      <c r="L26" s="27">
        <f t="shared" si="4"/>
        <v>171.3776608582848</v>
      </c>
    </row>
    <row r="27" spans="1:12" ht="16.5" x14ac:dyDescent="0.3">
      <c r="A27" s="9">
        <v>12</v>
      </c>
      <c r="B27" s="10">
        <v>46.560358352240591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38.509530862379115</v>
      </c>
      <c r="J27" s="27">
        <f t="shared" si="2"/>
        <v>1426.4226651657943</v>
      </c>
      <c r="K27" s="27">
        <f t="shared" si="3"/>
        <v>3.8509530862379115</v>
      </c>
      <c r="L27" s="27">
        <f t="shared" si="4"/>
        <v>142.64226651657944</v>
      </c>
    </row>
    <row r="28" spans="1:12" ht="16.5" x14ac:dyDescent="0.3">
      <c r="A28" s="9">
        <v>13</v>
      </c>
      <c r="B28" s="10">
        <v>46.560358352240591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35.007870223161106</v>
      </c>
      <c r="J28" s="27">
        <f t="shared" si="2"/>
        <v>1210.5827015000361</v>
      </c>
      <c r="K28" s="27">
        <f t="shared" si="3"/>
        <v>3.5007870223161106</v>
      </c>
      <c r="L28" s="27">
        <f t="shared" si="4"/>
        <v>121.05827015000361</v>
      </c>
    </row>
    <row r="29" spans="1:12" ht="16.5" x14ac:dyDescent="0.3">
      <c r="A29" s="9">
        <v>14</v>
      </c>
      <c r="B29" s="10">
        <v>45.809405942210986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33.636039859005081</v>
      </c>
      <c r="J29" s="27">
        <f t="shared" si="2"/>
        <v>1130.098951800062</v>
      </c>
      <c r="K29" s="27">
        <f t="shared" si="3"/>
        <v>3.3636039859005082</v>
      </c>
      <c r="L29" s="27">
        <f t="shared" si="4"/>
        <v>113.00989518000621</v>
      </c>
    </row>
    <row r="30" spans="1:12" ht="16.5" x14ac:dyDescent="0.3">
      <c r="A30" s="9">
        <v>15</v>
      </c>
      <c r="B30" s="10">
        <v>42.843208488014191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27.675516569847403</v>
      </c>
      <c r="J30" s="27">
        <f t="shared" si="2"/>
        <v>807.85249773174485</v>
      </c>
      <c r="K30" s="27">
        <f t="shared" si="3"/>
        <v>2.76755165698474</v>
      </c>
      <c r="L30" s="27">
        <f t="shared" si="4"/>
        <v>80.785249773174485</v>
      </c>
    </row>
    <row r="31" spans="1:12" ht="16.5" x14ac:dyDescent="0.3">
      <c r="A31" s="9">
        <v>16</v>
      </c>
      <c r="B31" s="10">
        <v>42.111185681147511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6.2314674717550886</v>
      </c>
      <c r="J31" s="27">
        <f t="shared" si="2"/>
        <v>62.083368496327338</v>
      </c>
      <c r="K31" s="27">
        <f t="shared" si="3"/>
        <v>0.21810136151142812</v>
      </c>
      <c r="L31" s="27">
        <f t="shared" si="4"/>
        <v>2.1729178973714567</v>
      </c>
    </row>
    <row r="32" spans="1:12" ht="16.5" x14ac:dyDescent="0.3">
      <c r="A32" s="9">
        <v>17</v>
      </c>
      <c r="B32" s="10">
        <v>40.658751321753982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6.2314674717550886</v>
      </c>
      <c r="J32" s="27">
        <f t="shared" si="2"/>
        <v>62.083368496327338</v>
      </c>
      <c r="K32" s="27">
        <f t="shared" si="3"/>
        <v>6.2314674717550887E-2</v>
      </c>
      <c r="L32" s="27">
        <f t="shared" si="4"/>
        <v>0.6208336849632734</v>
      </c>
    </row>
    <row r="33" spans="1:12" ht="16.5" x14ac:dyDescent="0.3">
      <c r="A33" s="9">
        <v>18</v>
      </c>
      <c r="B33" s="10">
        <v>38.509530862379115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6.2314674717550886</v>
      </c>
      <c r="J33" s="27">
        <f t="shared" si="2"/>
        <v>62.083368496327338</v>
      </c>
      <c r="K33" s="27">
        <f t="shared" si="3"/>
        <v>2.4925869887020356E-2</v>
      </c>
      <c r="L33" s="27">
        <f t="shared" si="4"/>
        <v>0.24833347398530936</v>
      </c>
    </row>
    <row r="34" spans="1:12" ht="16.5" x14ac:dyDescent="0.3">
      <c r="A34" s="9">
        <v>19</v>
      </c>
      <c r="B34" s="10">
        <v>36.396301389319731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6.2314674717550886</v>
      </c>
      <c r="J34" s="27">
        <f t="shared" si="2"/>
        <v>62.083368496327338</v>
      </c>
      <c r="K34" s="27">
        <f t="shared" si="3"/>
        <v>4.9851739774040707E-3</v>
      </c>
      <c r="L34" s="27">
        <f t="shared" si="4"/>
        <v>4.9666694797061872E-2</v>
      </c>
    </row>
    <row r="35" spans="1:12" ht="16.5" x14ac:dyDescent="0.3">
      <c r="A35" s="9">
        <v>20</v>
      </c>
      <c r="B35" s="10">
        <v>35.700026569840659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6.2314674717550886</v>
      </c>
      <c r="J35" s="27">
        <f t="shared" si="2"/>
        <v>62.083368496327338</v>
      </c>
      <c r="K35" s="27">
        <f t="shared" si="3"/>
        <v>1.2462934943510177E-3</v>
      </c>
      <c r="L35" s="27">
        <f t="shared" si="4"/>
        <v>1.2416673699265468E-2</v>
      </c>
    </row>
    <row r="36" spans="1:12" ht="16.5" x14ac:dyDescent="0.3">
      <c r="A36" s="9">
        <v>21</v>
      </c>
      <c r="B36" s="10">
        <v>35.007870223161106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43.225416887669034</v>
      </c>
      <c r="L36" s="27">
        <f>SUM(L16:L35)</f>
        <v>1868.5800802597339</v>
      </c>
    </row>
    <row r="37" spans="1:12" ht="16.5" x14ac:dyDescent="0.3">
      <c r="A37" s="9">
        <v>22</v>
      </c>
      <c r="B37" s="10">
        <v>35.007870223161106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34.319863906441036</v>
      </c>
      <c r="C38" s="11"/>
      <c r="D38" s="10">
        <f t="shared" si="1"/>
        <v>76.666666666666671</v>
      </c>
      <c r="H38" t="s">
        <v>95</v>
      </c>
      <c r="J38">
        <f>L36*31</f>
        <v>57925.982488051748</v>
      </c>
    </row>
    <row r="39" spans="1:12" ht="16.5" x14ac:dyDescent="0.3">
      <c r="A39" s="9">
        <v>24</v>
      </c>
      <c r="B39" s="10">
        <v>33.636039859005081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32.956431026876132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32.281071088553261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27.675516569847403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11.168263555044296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6.6430948092849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6.2314674717550886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57925.982488051748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5792.598248805175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50974.864589485536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56767.46283829071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1314061.6397752478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6"/>
  <sheetViews>
    <sheetView topLeftCell="D31" zoomScaleNormal="100" workbookViewId="0">
      <selection activeCell="J38" sqref="J38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651.82305963815895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651.82305963815895</v>
      </c>
      <c r="J16" s="27">
        <f>2.6637*(I16^1.721)</f>
        <v>185610.50813647726</v>
      </c>
      <c r="K16" s="27">
        <f>G16*I16*0.01</f>
        <v>0.1303646119276318</v>
      </c>
      <c r="L16" s="27">
        <f>G16*J16*0.01</f>
        <v>37.12210162729545</v>
      </c>
    </row>
    <row r="17" spans="1:12" ht="16.5" x14ac:dyDescent="0.3">
      <c r="A17" s="9">
        <v>2</v>
      </c>
      <c r="B17" s="10">
        <v>440.17316486320561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651.82305963815895</v>
      </c>
      <c r="J17" s="27">
        <f t="shared" ref="J17:J35" si="2">2.6637*(I17^1.721)</f>
        <v>185610.50813647726</v>
      </c>
      <c r="K17" s="27">
        <f t="shared" ref="K17:K35" si="3">G17*I17*0.01</f>
        <v>0.52145844771052718</v>
      </c>
      <c r="L17" s="27">
        <f t="shared" ref="L17:L35" si="4">G17*J17*0.01</f>
        <v>148.4884065091818</v>
      </c>
    </row>
    <row r="18" spans="1:12" ht="16.5" x14ac:dyDescent="0.3">
      <c r="A18" s="9">
        <v>3</v>
      </c>
      <c r="B18" s="10">
        <v>161.24510812232631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651.82305963815895</v>
      </c>
      <c r="J18" s="27">
        <f t="shared" si="2"/>
        <v>185610.50813647726</v>
      </c>
      <c r="K18" s="27">
        <f t="shared" si="3"/>
        <v>2.6072922385526356</v>
      </c>
      <c r="L18" s="27">
        <f t="shared" si="4"/>
        <v>742.442032545909</v>
      </c>
    </row>
    <row r="19" spans="1:12" ht="16.5" x14ac:dyDescent="0.3">
      <c r="A19" s="9">
        <v>4</v>
      </c>
      <c r="B19" s="10">
        <v>150.3637752740635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651.82305963815895</v>
      </c>
      <c r="J19" s="27">
        <f t="shared" si="2"/>
        <v>185610.50813647726</v>
      </c>
      <c r="K19" s="27">
        <f t="shared" si="3"/>
        <v>1.6295576490953974</v>
      </c>
      <c r="L19" s="27">
        <f t="shared" si="4"/>
        <v>464.02627034119314</v>
      </c>
    </row>
    <row r="20" spans="1:12" ht="16.5" x14ac:dyDescent="0.3">
      <c r="A20" s="9">
        <v>5</v>
      </c>
      <c r="B20" s="10">
        <v>139.71759780605939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651.82305963815895</v>
      </c>
      <c r="J20" s="27">
        <f t="shared" si="2"/>
        <v>185610.50813647726</v>
      </c>
      <c r="K20" s="27">
        <f t="shared" si="3"/>
        <v>4.8886729472861923</v>
      </c>
      <c r="L20" s="27">
        <f t="shared" si="4"/>
        <v>1392.0788110235794</v>
      </c>
    </row>
    <row r="21" spans="1:12" ht="16.5" x14ac:dyDescent="0.3">
      <c r="A21" s="9">
        <v>6</v>
      </c>
      <c r="B21" s="10">
        <v>118.15717324604556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651.82305963815895</v>
      </c>
      <c r="J21" s="27">
        <f t="shared" si="2"/>
        <v>185610.50813647726</v>
      </c>
      <c r="K21" s="27">
        <f t="shared" si="3"/>
        <v>22.813807087335562</v>
      </c>
      <c r="L21" s="27">
        <f t="shared" si="4"/>
        <v>6496.367784776704</v>
      </c>
    </row>
    <row r="22" spans="1:12" ht="16.5" x14ac:dyDescent="0.3">
      <c r="A22" s="9">
        <v>7</v>
      </c>
      <c r="B22" s="10">
        <v>112.20298012410653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161.24510812232631</v>
      </c>
      <c r="J22" s="27">
        <f t="shared" si="2"/>
        <v>16771.413224973116</v>
      </c>
      <c r="K22" s="27">
        <f t="shared" si="3"/>
        <v>16.124510812232632</v>
      </c>
      <c r="L22" s="27">
        <f t="shared" si="4"/>
        <v>1677.1413224973116</v>
      </c>
    </row>
    <row r="23" spans="1:12" ht="16.5" x14ac:dyDescent="0.3">
      <c r="A23" s="9">
        <v>8</v>
      </c>
      <c r="B23" s="10">
        <v>107.31354869023602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118.15717324604556</v>
      </c>
      <c r="J23" s="27">
        <f t="shared" si="2"/>
        <v>9821.7557530061331</v>
      </c>
      <c r="K23" s="27">
        <f t="shared" si="3"/>
        <v>11.815717324604558</v>
      </c>
      <c r="L23" s="27">
        <f t="shared" si="4"/>
        <v>982.17557530061333</v>
      </c>
    </row>
    <row r="24" spans="1:12" ht="16.5" x14ac:dyDescent="0.3">
      <c r="A24" s="9">
        <v>9</v>
      </c>
      <c r="B24" s="10">
        <v>95.854772183642368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95.854772183642368</v>
      </c>
      <c r="J24" s="27">
        <f t="shared" si="2"/>
        <v>6852.3976287075084</v>
      </c>
      <c r="K24" s="27">
        <f t="shared" si="3"/>
        <v>9.5854772183642361</v>
      </c>
      <c r="L24" s="27">
        <f t="shared" si="4"/>
        <v>685.23976287075084</v>
      </c>
    </row>
    <row r="25" spans="1:12" ht="16.5" x14ac:dyDescent="0.3">
      <c r="A25" s="9">
        <v>10</v>
      </c>
      <c r="B25" s="10">
        <v>92.12397155469273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81.207752114751656</v>
      </c>
      <c r="J25" s="27">
        <f t="shared" si="2"/>
        <v>5151.1309376009776</v>
      </c>
      <c r="K25" s="27">
        <f t="shared" si="3"/>
        <v>8.1207752114751663</v>
      </c>
      <c r="L25" s="27">
        <f t="shared" si="4"/>
        <v>515.11309376009774</v>
      </c>
    </row>
    <row r="26" spans="1:12" ht="16.5" x14ac:dyDescent="0.3">
      <c r="A26" s="9">
        <v>11</v>
      </c>
      <c r="B26" s="10">
        <v>88.438708582333092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71.57904630616045</v>
      </c>
      <c r="J26" s="27">
        <f t="shared" si="2"/>
        <v>4145.4516853632358</v>
      </c>
      <c r="K26" s="27">
        <f t="shared" si="3"/>
        <v>7.157904630616045</v>
      </c>
      <c r="L26" s="27">
        <f t="shared" si="4"/>
        <v>414.54516853632362</v>
      </c>
    </row>
    <row r="27" spans="1:12" ht="16.5" x14ac:dyDescent="0.3">
      <c r="A27" s="9">
        <v>12</v>
      </c>
      <c r="B27" s="10">
        <v>81.207752114751656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69.868642156783665</v>
      </c>
      <c r="J27" s="27">
        <f t="shared" si="2"/>
        <v>3976.4465980576274</v>
      </c>
      <c r="K27" s="27">
        <f t="shared" si="3"/>
        <v>6.9868642156783665</v>
      </c>
      <c r="L27" s="27">
        <f t="shared" si="4"/>
        <v>397.64465980576273</v>
      </c>
    </row>
    <row r="28" spans="1:12" ht="16.5" x14ac:dyDescent="0.3">
      <c r="A28" s="9">
        <v>13</v>
      </c>
      <c r="B28" s="10">
        <v>77.663623469335434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59.065719144021514</v>
      </c>
      <c r="J28" s="27">
        <f t="shared" si="2"/>
        <v>2978.1989030766308</v>
      </c>
      <c r="K28" s="27">
        <f t="shared" si="3"/>
        <v>5.9065719144021509</v>
      </c>
      <c r="L28" s="27">
        <f t="shared" si="4"/>
        <v>297.81989030766312</v>
      </c>
    </row>
    <row r="29" spans="1:12" ht="16.5" x14ac:dyDescent="0.3">
      <c r="A29" s="9">
        <v>14</v>
      </c>
      <c r="B29" s="10">
        <v>73.302011262042029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52.699757919775742</v>
      </c>
      <c r="J29" s="27">
        <f t="shared" si="2"/>
        <v>2447.4732068606195</v>
      </c>
      <c r="K29" s="27">
        <f t="shared" si="3"/>
        <v>5.2699757919775747</v>
      </c>
      <c r="L29" s="27">
        <f t="shared" si="4"/>
        <v>244.74732068606195</v>
      </c>
    </row>
    <row r="30" spans="1:12" ht="16.5" x14ac:dyDescent="0.3">
      <c r="A30" s="9">
        <v>15</v>
      </c>
      <c r="B30" s="10">
        <v>71.57904630616045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45.809405942210986</v>
      </c>
      <c r="J30" s="27">
        <f t="shared" si="2"/>
        <v>1923.0398339973999</v>
      </c>
      <c r="K30" s="27">
        <f t="shared" si="3"/>
        <v>4.580940594221099</v>
      </c>
      <c r="L30" s="27">
        <f t="shared" si="4"/>
        <v>192.30398339973999</v>
      </c>
    </row>
    <row r="31" spans="1:12" ht="16.5" x14ac:dyDescent="0.3">
      <c r="A31" s="9">
        <v>16</v>
      </c>
      <c r="B31" s="10">
        <v>71.57904630616045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42.111185681147511</v>
      </c>
      <c r="J31" s="27">
        <f t="shared" si="2"/>
        <v>1663.693637924936</v>
      </c>
      <c r="K31" s="27">
        <f t="shared" si="3"/>
        <v>1.473891498840163</v>
      </c>
      <c r="L31" s="27">
        <f t="shared" si="4"/>
        <v>58.229277327372756</v>
      </c>
    </row>
    <row r="32" spans="1:12" ht="16.5" x14ac:dyDescent="0.3">
      <c r="A32" s="9">
        <v>17</v>
      </c>
      <c r="B32" s="10">
        <v>70.722266766203916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42.111185681147511</v>
      </c>
      <c r="J32" s="27">
        <f t="shared" si="2"/>
        <v>1663.693637924936</v>
      </c>
      <c r="K32" s="27">
        <f t="shared" si="3"/>
        <v>0.42111185681147512</v>
      </c>
      <c r="L32" s="27">
        <f t="shared" si="4"/>
        <v>16.636936379249359</v>
      </c>
    </row>
    <row r="33" spans="1:12" ht="16.5" x14ac:dyDescent="0.3">
      <c r="A33" s="9">
        <v>18</v>
      </c>
      <c r="B33" s="10">
        <v>69.868642156783665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42.111185681147511</v>
      </c>
      <c r="J33" s="27">
        <f t="shared" si="2"/>
        <v>1663.693637924936</v>
      </c>
      <c r="K33" s="27">
        <f t="shared" si="3"/>
        <v>0.16844474272459006</v>
      </c>
      <c r="L33" s="27">
        <f t="shared" si="4"/>
        <v>6.6547745516997443</v>
      </c>
    </row>
    <row r="34" spans="1:12" ht="16.5" x14ac:dyDescent="0.3">
      <c r="A34" s="9">
        <v>19</v>
      </c>
      <c r="B34" s="10">
        <v>66.485995477302723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42.111185681147511</v>
      </c>
      <c r="J34" s="27">
        <f t="shared" si="2"/>
        <v>1663.693637924936</v>
      </c>
      <c r="K34" s="27">
        <f t="shared" si="3"/>
        <v>3.368894854491801E-2</v>
      </c>
      <c r="L34" s="27">
        <f t="shared" si="4"/>
        <v>1.3309549103399487</v>
      </c>
    </row>
    <row r="35" spans="1:12" ht="16.5" x14ac:dyDescent="0.3">
      <c r="A35" s="9">
        <v>20</v>
      </c>
      <c r="B35" s="10">
        <v>64.814000667957473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42.111185681147511</v>
      </c>
      <c r="J35" s="27">
        <f t="shared" si="2"/>
        <v>1663.693637924936</v>
      </c>
      <c r="K35" s="27">
        <f t="shared" si="3"/>
        <v>8.4222371362295025E-3</v>
      </c>
      <c r="L35" s="27">
        <f t="shared" si="4"/>
        <v>0.33273872758498718</v>
      </c>
    </row>
    <row r="36" spans="1:12" ht="16.5" x14ac:dyDescent="0.3">
      <c r="A36" s="9">
        <v>21</v>
      </c>
      <c r="B36" s="10">
        <v>59.065719144021514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110.24544997953716</v>
      </c>
      <c r="L36" s="27">
        <f>SUM(L16:L35)</f>
        <v>14770.440865884433</v>
      </c>
    </row>
    <row r="37" spans="1:12" ht="16.5" x14ac:dyDescent="0.3">
      <c r="A37" s="9">
        <v>22</v>
      </c>
      <c r="B37" s="10">
        <v>55.855063709897983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55.061</v>
      </c>
      <c r="C38" s="11"/>
      <c r="D38" s="10">
        <f t="shared" si="1"/>
        <v>76.666666666666671</v>
      </c>
      <c r="H38" t="s">
        <v>95</v>
      </c>
      <c r="J38">
        <f>L36*30</f>
        <v>443113.22597653302</v>
      </c>
    </row>
    <row r="39" spans="1:12" ht="16.5" x14ac:dyDescent="0.3">
      <c r="A39" s="9">
        <v>24</v>
      </c>
      <c r="B39" s="10">
        <v>52.699757919775742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50.370362456104004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46.560358352240591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45.809405942210986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42.843208488014191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42.843208488014191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42.111185681147511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443113.22597653302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44311.322597653307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389939.63885934907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434250.96145700238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10052105.589282462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6"/>
  <sheetViews>
    <sheetView topLeftCell="A10" zoomScaleNormal="100" workbookViewId="0">
      <selection activeCell="J41" sqref="J41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82.399798245312667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82.399798245312667</v>
      </c>
      <c r="J16" s="27">
        <f>2.6637*(I16^1.721)</f>
        <v>5281.9491026858386</v>
      </c>
      <c r="K16" s="27">
        <f>G16*I16*0.01</f>
        <v>1.6479959649062535E-2</v>
      </c>
      <c r="L16" s="27">
        <f>G16*J16*0.01</f>
        <v>1.0563898205371678</v>
      </c>
    </row>
    <row r="17" spans="1:12" ht="16.5" x14ac:dyDescent="0.3">
      <c r="A17" s="9">
        <v>2</v>
      </c>
      <c r="B17" s="10">
        <v>79.134477742297506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82.399798245312667</v>
      </c>
      <c r="J17" s="27">
        <f t="shared" ref="J17:J35" si="2">2.6637*(I17^1.721)</f>
        <v>5281.9491026858386</v>
      </c>
      <c r="K17" s="27">
        <f t="shared" ref="K17:K35" si="3">G17*I17*0.01</f>
        <v>6.5919838596250141E-2</v>
      </c>
      <c r="L17" s="27">
        <f t="shared" ref="L17:L35" si="4">G17*J17*0.01</f>
        <v>4.2255592821486712</v>
      </c>
    </row>
    <row r="18" spans="1:12" ht="16.5" x14ac:dyDescent="0.3">
      <c r="A18" s="9">
        <v>3</v>
      </c>
      <c r="B18" s="10">
        <v>75.909757381938547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82.399798245312667</v>
      </c>
      <c r="J18" s="27">
        <f t="shared" si="2"/>
        <v>5281.9491026858386</v>
      </c>
      <c r="K18" s="27">
        <f t="shared" si="3"/>
        <v>0.32959919298125068</v>
      </c>
      <c r="L18" s="27">
        <f t="shared" si="4"/>
        <v>21.127796410743354</v>
      </c>
    </row>
    <row r="19" spans="1:12" ht="16.5" x14ac:dyDescent="0.3">
      <c r="A19" s="9">
        <v>4</v>
      </c>
      <c r="B19" s="10">
        <v>72.43896599999708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82.399798245312667</v>
      </c>
      <c r="J19" s="27">
        <f t="shared" si="2"/>
        <v>5281.9491026858386</v>
      </c>
      <c r="K19" s="27">
        <f t="shared" si="3"/>
        <v>0.20599949561328168</v>
      </c>
      <c r="L19" s="27">
        <f t="shared" si="4"/>
        <v>13.204872756714597</v>
      </c>
    </row>
    <row r="20" spans="1:12" ht="16.5" x14ac:dyDescent="0.3">
      <c r="A20" s="9">
        <v>5</v>
      </c>
      <c r="B20" s="10">
        <v>63.430639824563251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82.399798245312667</v>
      </c>
      <c r="J20" s="27">
        <f t="shared" si="2"/>
        <v>5281.9491026858386</v>
      </c>
      <c r="K20" s="27">
        <f t="shared" si="3"/>
        <v>0.61799848683984504</v>
      </c>
      <c r="L20" s="27">
        <f t="shared" si="4"/>
        <v>39.614618270143794</v>
      </c>
    </row>
    <row r="21" spans="1:12" ht="16.5" x14ac:dyDescent="0.3">
      <c r="A21" s="9">
        <v>6</v>
      </c>
      <c r="B21" s="10">
        <v>56.120521223297857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82.399798245312667</v>
      </c>
      <c r="J21" s="27">
        <f t="shared" si="2"/>
        <v>5281.9491026858386</v>
      </c>
      <c r="K21" s="27">
        <f t="shared" si="3"/>
        <v>2.8839929385859433</v>
      </c>
      <c r="L21" s="27">
        <f t="shared" si="4"/>
        <v>184.86821859400436</v>
      </c>
    </row>
    <row r="22" spans="1:12" ht="16.5" x14ac:dyDescent="0.3">
      <c r="A22" s="9">
        <v>7</v>
      </c>
      <c r="B22" s="10">
        <v>55.855063709897983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75.909757381938547</v>
      </c>
      <c r="J22" s="27">
        <f t="shared" si="2"/>
        <v>4586.4586889712718</v>
      </c>
      <c r="K22" s="27">
        <f t="shared" si="3"/>
        <v>7.5909757381938547</v>
      </c>
      <c r="L22" s="27">
        <f t="shared" si="4"/>
        <v>458.64586889712723</v>
      </c>
    </row>
    <row r="23" spans="1:12" ht="16.5" x14ac:dyDescent="0.3">
      <c r="A23" s="9">
        <v>8</v>
      </c>
      <c r="B23" s="10">
        <v>55.58999052531933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56.120521223297857</v>
      </c>
      <c r="J23" s="27">
        <f t="shared" si="2"/>
        <v>2727.2424577667975</v>
      </c>
      <c r="K23" s="27">
        <f t="shared" si="3"/>
        <v>5.6120521223297848</v>
      </c>
      <c r="L23" s="27">
        <f t="shared" si="4"/>
        <v>272.72424577667977</v>
      </c>
    </row>
    <row r="24" spans="1:12" ht="16.5" x14ac:dyDescent="0.3">
      <c r="A24" s="9">
        <v>9</v>
      </c>
      <c r="B24" s="10">
        <v>53.745299837329227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53.745299837329227</v>
      </c>
      <c r="J24" s="27">
        <f t="shared" si="2"/>
        <v>2531.6361831840759</v>
      </c>
      <c r="K24" s="27">
        <f t="shared" si="3"/>
        <v>5.3745299837329235</v>
      </c>
      <c r="L24" s="27">
        <f t="shared" si="4"/>
        <v>253.1636183184076</v>
      </c>
    </row>
    <row r="25" spans="1:12" ht="16.5" x14ac:dyDescent="0.3">
      <c r="A25" s="9">
        <v>10</v>
      </c>
      <c r="B25" s="10">
        <v>53.745299837329206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52.179342797537259</v>
      </c>
      <c r="J25" s="27">
        <f t="shared" si="2"/>
        <v>2406.0265180905735</v>
      </c>
      <c r="K25" s="27">
        <f t="shared" si="3"/>
        <v>5.2179342797537265</v>
      </c>
      <c r="L25" s="27">
        <f t="shared" si="4"/>
        <v>240.60265180905736</v>
      </c>
    </row>
    <row r="26" spans="1:12" ht="16.5" x14ac:dyDescent="0.3">
      <c r="A26" s="9">
        <v>11</v>
      </c>
      <c r="B26" s="10">
        <v>52.179342797537259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50.1135309112721</v>
      </c>
      <c r="J26" s="27">
        <f t="shared" si="2"/>
        <v>2244.4393365375663</v>
      </c>
      <c r="K26" s="27">
        <f t="shared" si="3"/>
        <v>5.0113530911272104</v>
      </c>
      <c r="L26" s="27">
        <f t="shared" si="4"/>
        <v>224.44393365375663</v>
      </c>
    </row>
    <row r="27" spans="1:12" ht="16.5" x14ac:dyDescent="0.3">
      <c r="A27" s="9">
        <v>12</v>
      </c>
      <c r="B27" s="10">
        <v>52.179342797537259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49.345445069293973</v>
      </c>
      <c r="J27" s="27">
        <f t="shared" si="2"/>
        <v>2185.5639518549719</v>
      </c>
      <c r="K27" s="27">
        <f t="shared" si="3"/>
        <v>4.9345445069293978</v>
      </c>
      <c r="L27" s="27">
        <f t="shared" si="4"/>
        <v>218.55639518549719</v>
      </c>
    </row>
    <row r="28" spans="1:12" ht="16.5" x14ac:dyDescent="0.3">
      <c r="A28" s="9">
        <v>13</v>
      </c>
      <c r="B28" s="10">
        <v>51.91972685189014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47.567400528746852</v>
      </c>
      <c r="J28" s="27">
        <f t="shared" si="2"/>
        <v>2051.7990303589777</v>
      </c>
      <c r="K28" s="27">
        <f t="shared" si="3"/>
        <v>4.7567400528746848</v>
      </c>
      <c r="L28" s="27">
        <f t="shared" si="4"/>
        <v>205.17990303589778</v>
      </c>
    </row>
    <row r="29" spans="1:12" ht="16.5" x14ac:dyDescent="0.3">
      <c r="A29" s="9">
        <v>14</v>
      </c>
      <c r="B29" s="10">
        <v>50.627594132279143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46.81150216484243</v>
      </c>
      <c r="J29" s="27">
        <f t="shared" si="2"/>
        <v>1996.0071696908067</v>
      </c>
      <c r="K29" s="27">
        <f t="shared" si="3"/>
        <v>4.6811502164842436</v>
      </c>
      <c r="L29" s="27">
        <f t="shared" si="4"/>
        <v>199.60071696908068</v>
      </c>
    </row>
    <row r="30" spans="1:12" ht="16.5" x14ac:dyDescent="0.3">
      <c r="A30" s="9">
        <v>15</v>
      </c>
      <c r="B30" s="10">
        <v>50.1135309112721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39.460342488366152</v>
      </c>
      <c r="J30" s="27">
        <f t="shared" si="2"/>
        <v>1487.5724757064654</v>
      </c>
      <c r="K30" s="27">
        <f t="shared" si="3"/>
        <v>3.9460342488366154</v>
      </c>
      <c r="L30" s="27">
        <f t="shared" si="4"/>
        <v>148.75724757064654</v>
      </c>
    </row>
    <row r="31" spans="1:12" ht="16.5" x14ac:dyDescent="0.3">
      <c r="A31" s="9">
        <v>16</v>
      </c>
      <c r="B31" s="10">
        <v>49.345445069293973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31.387260196705267</v>
      </c>
      <c r="J31" s="27">
        <f t="shared" si="2"/>
        <v>1003.2240279696555</v>
      </c>
      <c r="K31" s="27">
        <f t="shared" si="3"/>
        <v>1.0985541068846845</v>
      </c>
      <c r="L31" s="27">
        <f t="shared" si="4"/>
        <v>35.112840978937946</v>
      </c>
    </row>
    <row r="32" spans="1:12" ht="16.5" x14ac:dyDescent="0.3">
      <c r="A32" s="9">
        <v>17</v>
      </c>
      <c r="B32" s="10">
        <v>49.345445069293973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31.387260196705267</v>
      </c>
      <c r="J32" s="27">
        <f t="shared" si="2"/>
        <v>1003.2240279696555</v>
      </c>
      <c r="K32" s="27">
        <f t="shared" si="3"/>
        <v>0.31387260196705269</v>
      </c>
      <c r="L32" s="27">
        <f t="shared" si="4"/>
        <v>10.032240279696556</v>
      </c>
    </row>
    <row r="33" spans="1:12" ht="16.5" x14ac:dyDescent="0.3">
      <c r="A33" s="9">
        <v>18</v>
      </c>
      <c r="B33" s="10">
        <v>49.345445069293973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31.387260196705267</v>
      </c>
      <c r="J33" s="27">
        <f t="shared" si="2"/>
        <v>1003.2240279696555</v>
      </c>
      <c r="K33" s="27">
        <f t="shared" si="3"/>
        <v>0.12554904078682108</v>
      </c>
      <c r="L33" s="27">
        <f t="shared" si="4"/>
        <v>4.0128961118786224</v>
      </c>
    </row>
    <row r="34" spans="1:12" ht="16.5" x14ac:dyDescent="0.3">
      <c r="A34" s="9">
        <v>19</v>
      </c>
      <c r="B34" s="10">
        <v>48.326981390862983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31.387260196705267</v>
      </c>
      <c r="J34" s="27">
        <f t="shared" si="2"/>
        <v>1003.2240279696555</v>
      </c>
      <c r="K34" s="27">
        <f t="shared" si="3"/>
        <v>2.5109808157364216E-2</v>
      </c>
      <c r="L34" s="27">
        <f t="shared" si="4"/>
        <v>0.80257922237572443</v>
      </c>
    </row>
    <row r="35" spans="1:12" ht="16.5" x14ac:dyDescent="0.3">
      <c r="A35" s="9">
        <v>20</v>
      </c>
      <c r="B35" s="10">
        <v>47.820186110738383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31.387260196705267</v>
      </c>
      <c r="J35" s="27">
        <f t="shared" si="2"/>
        <v>1003.2240279696555</v>
      </c>
      <c r="K35" s="27">
        <f t="shared" si="3"/>
        <v>6.2774520393410541E-3</v>
      </c>
      <c r="L35" s="27">
        <f t="shared" si="4"/>
        <v>0.20064480559393111</v>
      </c>
    </row>
    <row r="36" spans="1:12" ht="16.5" x14ac:dyDescent="0.3">
      <c r="A36" s="9">
        <v>21</v>
      </c>
      <c r="B36" s="10">
        <v>47.567400528746852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52.814667162363349</v>
      </c>
      <c r="L36" s="27">
        <f>SUM(L16:L35)</f>
        <v>2535.9332377489254</v>
      </c>
    </row>
    <row r="37" spans="1:12" ht="16.5" x14ac:dyDescent="0.3">
      <c r="A37" s="9">
        <v>22</v>
      </c>
      <c r="B37" s="10">
        <v>47.315024109970565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47.063057703872822</v>
      </c>
      <c r="C38" s="11"/>
      <c r="D38" s="10">
        <f t="shared" si="1"/>
        <v>76.666666666666671</v>
      </c>
      <c r="H38" t="s">
        <v>95</v>
      </c>
      <c r="J38">
        <f>L36*31</f>
        <v>78613.930370216694</v>
      </c>
    </row>
    <row r="39" spans="1:12" ht="16.5" x14ac:dyDescent="0.3">
      <c r="A39" s="9">
        <v>24</v>
      </c>
      <c r="B39" s="10">
        <v>46.81150216484243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46.309627130448675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44.318736046526681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39.460342488366152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39.221976849580308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34.319863906441036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31.387260196705267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78613.930370216694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7861.3930370216694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69180.258725790685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77041.651762812355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1783371.5685836193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6"/>
  <sheetViews>
    <sheetView topLeftCell="A10" workbookViewId="0">
      <selection activeCell="A2" sqref="A2"/>
    </sheetView>
  </sheetViews>
  <sheetFormatPr defaultRowHeight="15" x14ac:dyDescent="0.25"/>
  <cols>
    <col min="1" max="1" width="16.5703125" customWidth="1"/>
    <col min="2" max="2" width="19.140625" customWidth="1"/>
    <col min="3" max="3" width="11.7109375" customWidth="1"/>
    <col min="8" max="8" width="15.42578125" customWidth="1"/>
  </cols>
  <sheetData>
    <row r="1" spans="1:12" x14ac:dyDescent="0.25">
      <c r="A1" t="s">
        <v>93</v>
      </c>
    </row>
    <row r="2" spans="1:12" x14ac:dyDescent="0.25">
      <c r="A2" s="42" t="s">
        <v>97</v>
      </c>
      <c r="B2" s="42" t="s">
        <v>65</v>
      </c>
      <c r="C2" s="28"/>
    </row>
    <row r="3" spans="1:12" x14ac:dyDescent="0.25">
      <c r="A3" s="11" t="s">
        <v>62</v>
      </c>
      <c r="B3" s="66">
        <f>Jan!J57</f>
        <v>198298.709430054</v>
      </c>
      <c r="D3" t="s">
        <v>39</v>
      </c>
    </row>
    <row r="4" spans="1:12" x14ac:dyDescent="0.25">
      <c r="A4" s="11" t="s">
        <v>63</v>
      </c>
      <c r="B4" s="66">
        <f>Feb!J58</f>
        <v>527730.21334126766</v>
      </c>
      <c r="D4" t="s">
        <v>40</v>
      </c>
      <c r="E4" t="s">
        <v>41</v>
      </c>
      <c r="H4" s="16">
        <v>314700000</v>
      </c>
      <c r="L4" s="17">
        <f>AVERAGE(L5:L16)</f>
        <v>65.754710942569275</v>
      </c>
    </row>
    <row r="5" spans="1:12" x14ac:dyDescent="0.25">
      <c r="A5" s="11" t="s">
        <v>64</v>
      </c>
      <c r="B5" s="66">
        <f>Mar!J57</f>
        <v>115229.58514000762</v>
      </c>
      <c r="D5" t="s">
        <v>42</v>
      </c>
      <c r="E5" t="s">
        <v>43</v>
      </c>
      <c r="H5" s="16">
        <f>L4*365*24*60*60</f>
        <v>2073640564.2848647</v>
      </c>
      <c r="L5">
        <v>81.912112034198387</v>
      </c>
    </row>
    <row r="6" spans="1:12" x14ac:dyDescent="0.25">
      <c r="A6" s="11" t="s">
        <v>53</v>
      </c>
      <c r="B6" s="66">
        <f>Apr!J58</f>
        <v>142175.48906154235</v>
      </c>
      <c r="H6" s="63">
        <f>H4/H5</f>
        <v>0.15176207748835702</v>
      </c>
      <c r="L6">
        <v>147.06140970147902</v>
      </c>
    </row>
    <row r="7" spans="1:12" x14ac:dyDescent="0.25">
      <c r="A7" s="11" t="s">
        <v>54</v>
      </c>
      <c r="B7" s="66">
        <f>Mei!J57</f>
        <v>163128.1301588341</v>
      </c>
      <c r="L7">
        <v>64.583431599478416</v>
      </c>
    </row>
    <row r="8" spans="1:12" x14ac:dyDescent="0.25">
      <c r="A8" s="11" t="s">
        <v>55</v>
      </c>
      <c r="B8" s="66">
        <f>Jun!J38</f>
        <v>90600.760432244206</v>
      </c>
      <c r="L8">
        <v>69.114147486845226</v>
      </c>
    </row>
    <row r="9" spans="1:12" x14ac:dyDescent="0.25">
      <c r="A9" s="11" t="s">
        <v>56</v>
      </c>
      <c r="B9" s="66">
        <f>Jul!J38</f>
        <v>59812.448584286067</v>
      </c>
      <c r="L9">
        <v>67.935586052460039</v>
      </c>
    </row>
    <row r="10" spans="1:12" x14ac:dyDescent="0.25">
      <c r="A10" s="11" t="s">
        <v>57</v>
      </c>
      <c r="B10" s="66">
        <f>Ags!J38</f>
        <v>48093.370943909045</v>
      </c>
      <c r="L10">
        <v>58.690042783852192</v>
      </c>
    </row>
    <row r="11" spans="1:12" x14ac:dyDescent="0.25">
      <c r="A11" s="11" t="s">
        <v>58</v>
      </c>
      <c r="B11" s="66">
        <f>Sep!J38</f>
        <v>17151.21771666412</v>
      </c>
      <c r="L11">
        <v>41.391354907140759</v>
      </c>
    </row>
    <row r="12" spans="1:12" x14ac:dyDescent="0.25">
      <c r="A12" s="11" t="s">
        <v>59</v>
      </c>
      <c r="B12" s="66">
        <f>Okt!J38</f>
        <v>57925.982488051748</v>
      </c>
      <c r="L12">
        <v>34.967758738057853</v>
      </c>
    </row>
    <row r="13" spans="1:12" x14ac:dyDescent="0.25">
      <c r="A13" s="11" t="s">
        <v>60</v>
      </c>
      <c r="B13" s="66">
        <f>Nov!J38</f>
        <v>443113.22597653302</v>
      </c>
      <c r="L13">
        <v>19.050827637795845</v>
      </c>
    </row>
    <row r="14" spans="1:12" x14ac:dyDescent="0.25">
      <c r="A14" s="11" t="s">
        <v>61</v>
      </c>
      <c r="B14" s="66">
        <f>Des!J38</f>
        <v>78613.930370216694</v>
      </c>
      <c r="L14">
        <v>42.043342948179976</v>
      </c>
    </row>
    <row r="15" spans="1:12" x14ac:dyDescent="0.25">
      <c r="A15" s="42" t="s">
        <v>96</v>
      </c>
      <c r="B15" s="66">
        <f>SUM(B3:B14)</f>
        <v>1941873.0636436106</v>
      </c>
      <c r="L15">
        <v>109.92851715976649</v>
      </c>
    </row>
    <row r="16" spans="1:12" x14ac:dyDescent="0.25">
      <c r="B16" s="35"/>
      <c r="L16">
        <v>52.378000261576993</v>
      </c>
    </row>
    <row r="19" spans="1:3" ht="26.25" x14ac:dyDescent="0.25">
      <c r="A19" s="1" t="s">
        <v>44</v>
      </c>
      <c r="B19" s="21">
        <f>B15</f>
        <v>1941873.0636436106</v>
      </c>
      <c r="C19" s="30"/>
    </row>
    <row r="20" spans="1:3" ht="38.25" x14ac:dyDescent="0.25">
      <c r="A20" s="22" t="s">
        <v>45</v>
      </c>
      <c r="B20" s="23">
        <v>0.1</v>
      </c>
      <c r="C20" s="31"/>
    </row>
    <row r="21" spans="1:3" ht="16.5" x14ac:dyDescent="0.25">
      <c r="A21" s="22" t="s">
        <v>46</v>
      </c>
      <c r="B21" s="14">
        <f>B19*B20</f>
        <v>194187.30636436108</v>
      </c>
      <c r="C21" s="32"/>
    </row>
    <row r="22" spans="1:3" ht="16.5" x14ac:dyDescent="0.25">
      <c r="A22" s="1" t="s">
        <v>47</v>
      </c>
      <c r="B22" s="23">
        <v>0.88</v>
      </c>
      <c r="C22" s="31"/>
    </row>
    <row r="23" spans="1:3" ht="38.25" x14ac:dyDescent="0.25">
      <c r="A23" s="22" t="s">
        <v>48</v>
      </c>
      <c r="B23" s="24">
        <f>B22*B19</f>
        <v>1708848.2960063773</v>
      </c>
      <c r="C23" s="33"/>
    </row>
    <row r="24" spans="1:3" ht="38.25" x14ac:dyDescent="0.25">
      <c r="A24" s="22" t="s">
        <v>49</v>
      </c>
      <c r="B24" s="24">
        <f>B23+B21</f>
        <v>1903035.6023707385</v>
      </c>
      <c r="C24" s="33"/>
    </row>
    <row r="25" spans="1:3" ht="26.25" x14ac:dyDescent="0.25">
      <c r="A25" s="25" t="s">
        <v>50</v>
      </c>
      <c r="B25" s="26">
        <f>(B24/B26)*50</f>
        <v>86501618.289579019</v>
      </c>
      <c r="C25" s="36"/>
    </row>
    <row r="26" spans="1:3" ht="16.5" x14ac:dyDescent="0.25">
      <c r="A26" s="1" t="s">
        <v>51</v>
      </c>
      <c r="B26" s="12">
        <v>1.1000000000000001</v>
      </c>
      <c r="C26" s="3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9"/>
  <sheetViews>
    <sheetView tabSelected="1" topLeftCell="C1" zoomScale="73" zoomScaleNormal="85" workbookViewId="0">
      <selection activeCell="Q35" sqref="Q35"/>
    </sheetView>
  </sheetViews>
  <sheetFormatPr defaultRowHeight="15" x14ac:dyDescent="0.25"/>
  <cols>
    <col min="1" max="1" width="5.140625" style="28" customWidth="1"/>
    <col min="2" max="2" width="8.7109375" style="28"/>
    <col min="3" max="4" width="13.85546875" style="28" customWidth="1"/>
    <col min="5" max="5" width="14.42578125" customWidth="1"/>
    <col min="6" max="6" width="14.28515625" style="53" customWidth="1"/>
    <col min="7" max="7" width="9.140625" customWidth="1"/>
    <col min="8" max="8" width="7.85546875" customWidth="1"/>
    <col min="9" max="9" width="9.7109375" customWidth="1"/>
    <col min="10" max="10" width="11.42578125" customWidth="1"/>
    <col min="11" max="11" width="14.140625" customWidth="1"/>
    <col min="12" max="12" width="10.28515625" customWidth="1"/>
    <col min="13" max="13" width="8.42578125" customWidth="1"/>
    <col min="14" max="14" width="9.7109375" bestFit="1" customWidth="1"/>
    <col min="15" max="17" width="9.7109375" customWidth="1"/>
    <col min="18" max="19" width="12.42578125" customWidth="1"/>
    <col min="26" max="26" width="8.7109375" style="28"/>
  </cols>
  <sheetData>
    <row r="1" spans="1:27" x14ac:dyDescent="0.25">
      <c r="C1" s="37"/>
      <c r="D1" s="37"/>
    </row>
    <row r="2" spans="1:27" x14ac:dyDescent="0.25">
      <c r="C2" s="37"/>
      <c r="D2" s="37"/>
      <c r="Z2" s="28" t="s">
        <v>66</v>
      </c>
    </row>
    <row r="3" spans="1:27" ht="15.75" thickBot="1" x14ac:dyDescent="0.3">
      <c r="C3" s="37"/>
      <c r="D3" s="37"/>
      <c r="R3" s="69">
        <f>(G6-L6)/G6</f>
        <v>-2.2018443596011168E-3</v>
      </c>
      <c r="S3" s="69"/>
    </row>
    <row r="4" spans="1:27" ht="14.45" customHeight="1" x14ac:dyDescent="0.25">
      <c r="A4" s="82" t="s">
        <v>67</v>
      </c>
      <c r="B4" s="84" t="s">
        <v>68</v>
      </c>
      <c r="C4" s="38" t="s">
        <v>69</v>
      </c>
      <c r="D4" s="38" t="s">
        <v>70</v>
      </c>
      <c r="E4" s="38" t="s">
        <v>71</v>
      </c>
      <c r="F4" s="86" t="str">
        <f>'[1]Distr Sed'!$G$40</f>
        <v>Kedalaman Relatif (p)</v>
      </c>
      <c r="G4" s="88" t="s">
        <v>72</v>
      </c>
      <c r="H4" s="80" t="s">
        <v>73</v>
      </c>
      <c r="I4" s="76" t="s">
        <v>74</v>
      </c>
      <c r="J4" s="76" t="s">
        <v>75</v>
      </c>
      <c r="K4" s="76" t="s">
        <v>76</v>
      </c>
      <c r="L4" s="76" t="s">
        <v>77</v>
      </c>
      <c r="M4" s="76" t="s">
        <v>78</v>
      </c>
      <c r="N4" s="78" t="s">
        <v>79</v>
      </c>
      <c r="O4" s="91"/>
      <c r="P4" s="91"/>
      <c r="Q4" s="91"/>
      <c r="U4" t="s">
        <v>80</v>
      </c>
      <c r="Z4" s="28" t="s">
        <v>81</v>
      </c>
      <c r="AA4" t="s">
        <v>82</v>
      </c>
    </row>
    <row r="5" spans="1:27" x14ac:dyDescent="0.25">
      <c r="A5" s="83"/>
      <c r="B5" s="85"/>
      <c r="C5" s="39" t="s">
        <v>83</v>
      </c>
      <c r="D5" s="39" t="s">
        <v>84</v>
      </c>
      <c r="E5" s="39" t="s">
        <v>85</v>
      </c>
      <c r="F5" s="87"/>
      <c r="G5" s="89"/>
      <c r="H5" s="81"/>
      <c r="I5" s="77"/>
      <c r="J5" s="77"/>
      <c r="K5" s="77"/>
      <c r="L5" s="77"/>
      <c r="M5" s="77"/>
      <c r="N5" s="79"/>
      <c r="O5" s="91"/>
      <c r="P5" s="91"/>
      <c r="Q5" s="91"/>
      <c r="U5" t="s">
        <v>86</v>
      </c>
      <c r="Z5" s="28" t="s">
        <v>87</v>
      </c>
      <c r="AA5" t="s">
        <v>88</v>
      </c>
    </row>
    <row r="6" spans="1:27" x14ac:dyDescent="0.25">
      <c r="A6" s="40">
        <v>1</v>
      </c>
      <c r="B6" s="41">
        <v>67.5</v>
      </c>
      <c r="C6" s="42">
        <f>B6-$B$55</f>
        <v>47.5</v>
      </c>
      <c r="D6" s="42">
        <v>15.93</v>
      </c>
      <c r="E6" s="42">
        <v>253.88</v>
      </c>
      <c r="F6" s="55">
        <f>C6/$C$6</f>
        <v>1</v>
      </c>
      <c r="G6" s="43">
        <v>86.501618289579</v>
      </c>
      <c r="H6" s="44">
        <f>($G$6-E6)/($C$6*D6)</f>
        <v>-0.22120247359886477</v>
      </c>
      <c r="I6" s="44">
        <f>2.487*F6^0.57*(1-F6)^0.41</f>
        <v>0</v>
      </c>
      <c r="J6" s="44">
        <f>I6*$F$59</f>
        <v>0</v>
      </c>
      <c r="K6" s="44">
        <f>((J6+J7)/2)*(B6-B7)</f>
        <v>0.20027173589044275</v>
      </c>
      <c r="L6" s="47">
        <f t="shared" ref="L6:L35" si="0">L7+K6</f>
        <v>86.692081389906278</v>
      </c>
      <c r="M6" s="44">
        <f>D6-J6</f>
        <v>15.93</v>
      </c>
      <c r="N6" s="45">
        <f>E6-L6</f>
        <v>167.18791861009373</v>
      </c>
      <c r="O6" s="92"/>
      <c r="P6" s="92">
        <f>D6-J6</f>
        <v>15.93</v>
      </c>
      <c r="Q6" s="92"/>
      <c r="R6" s="90">
        <f>N6/E6</f>
        <v>0.65853126914327131</v>
      </c>
      <c r="S6" s="90"/>
      <c r="U6" t="s">
        <v>89</v>
      </c>
      <c r="Z6" s="28" t="s">
        <v>42</v>
      </c>
      <c r="AA6" t="s">
        <v>90</v>
      </c>
    </row>
    <row r="7" spans="1:27" x14ac:dyDescent="0.25">
      <c r="A7" s="40">
        <v>2</v>
      </c>
      <c r="B7" s="41">
        <v>67</v>
      </c>
      <c r="C7" s="42">
        <f>B7-$B$55</f>
        <v>47</v>
      </c>
      <c r="D7" s="42">
        <v>15.74</v>
      </c>
      <c r="E7" s="42">
        <v>245.97</v>
      </c>
      <c r="F7" s="55">
        <f t="shared" ref="F7:F55" si="1">C7/$C$6</f>
        <v>0.98947368421052628</v>
      </c>
      <c r="G7" s="46"/>
      <c r="H7" s="44">
        <f t="shared" ref="H7:H54" si="2">($G$6-E7)/($C$6*D7)</f>
        <v>-0.21329282647016787</v>
      </c>
      <c r="I7" s="44">
        <f t="shared" ref="I7:I54" si="3">2.487*F7^0.57*(1-F7)^0.41</f>
        <v>0.38211098991799286</v>
      </c>
      <c r="J7" s="44">
        <f>I7*$F$59</f>
        <v>0.80108694356177101</v>
      </c>
      <c r="K7" s="44">
        <f t="shared" ref="K7:K35" si="4">((J7+J8)/2)*(B7-B8)</f>
        <v>1.0213346793903146</v>
      </c>
      <c r="L7" s="47">
        <f t="shared" si="0"/>
        <v>86.491809654015839</v>
      </c>
      <c r="M7" s="44">
        <f t="shared" ref="M7:M55" si="5">D7-J7</f>
        <v>14.93891305643823</v>
      </c>
      <c r="N7" s="45">
        <f t="shared" ref="N7:N55" si="6">E7-L7</f>
        <v>159.47819034598416</v>
      </c>
      <c r="O7" s="92"/>
      <c r="P7" s="92">
        <f t="shared" ref="P7:P55" si="7">D7-J7</f>
        <v>14.93891305643823</v>
      </c>
      <c r="Q7" s="92"/>
    </row>
    <row r="8" spans="1:27" x14ac:dyDescent="0.25">
      <c r="A8" s="40">
        <v>3</v>
      </c>
      <c r="B8" s="41">
        <v>66</v>
      </c>
      <c r="C8" s="42">
        <f>B8-$B$55</f>
        <v>46</v>
      </c>
      <c r="D8" s="42">
        <v>15.07</v>
      </c>
      <c r="E8" s="42">
        <v>230.56</v>
      </c>
      <c r="F8" s="55">
        <f t="shared" si="1"/>
        <v>0.96842105263157896</v>
      </c>
      <c r="G8" s="43"/>
      <c r="H8" s="44">
        <f t="shared" si="2"/>
        <v>-0.20124804485792058</v>
      </c>
      <c r="I8" s="44">
        <f t="shared" si="3"/>
        <v>0.59222321566581382</v>
      </c>
      <c r="J8" s="44">
        <f>I8*$F$59</f>
        <v>1.2415824152188581</v>
      </c>
      <c r="K8" s="44">
        <f t="shared" si="4"/>
        <v>1.376688367233331</v>
      </c>
      <c r="L8" s="47">
        <f t="shared" si="0"/>
        <v>85.470474974625517</v>
      </c>
      <c r="M8" s="44">
        <f t="shared" si="5"/>
        <v>13.828417584781143</v>
      </c>
      <c r="N8" s="45">
        <f t="shared" si="6"/>
        <v>145.08952502537448</v>
      </c>
      <c r="O8" s="92"/>
      <c r="P8" s="92">
        <f t="shared" si="7"/>
        <v>13.828417584781143</v>
      </c>
      <c r="Q8" s="92"/>
    </row>
    <row r="9" spans="1:27" x14ac:dyDescent="0.25">
      <c r="A9" s="40">
        <v>4</v>
      </c>
      <c r="B9" s="41">
        <v>65</v>
      </c>
      <c r="C9" s="42">
        <f>B9-$B$55</f>
        <v>45</v>
      </c>
      <c r="D9" s="42">
        <v>14.38</v>
      </c>
      <c r="E9" s="42">
        <v>215.84</v>
      </c>
      <c r="F9" s="55">
        <f t="shared" si="1"/>
        <v>0.94736842105263153</v>
      </c>
      <c r="G9" s="46"/>
      <c r="H9" s="44">
        <f t="shared" si="2"/>
        <v>-0.18935419326611666</v>
      </c>
      <c r="I9" s="44">
        <f t="shared" si="3"/>
        <v>0.72111177010542893</v>
      </c>
      <c r="J9" s="44">
        <f>I9*$F$59</f>
        <v>1.5117943192478041</v>
      </c>
      <c r="K9" s="44">
        <f t="shared" si="4"/>
        <v>1.6125642842995231</v>
      </c>
      <c r="L9" s="47">
        <f t="shared" si="0"/>
        <v>84.09378660739219</v>
      </c>
      <c r="M9" s="44">
        <f t="shared" si="5"/>
        <v>12.868205680752197</v>
      </c>
      <c r="N9" s="45">
        <f t="shared" si="6"/>
        <v>131.74621339260781</v>
      </c>
      <c r="O9" s="92"/>
      <c r="P9" s="92">
        <f t="shared" si="7"/>
        <v>12.868205680752197</v>
      </c>
      <c r="Q9" s="92"/>
    </row>
    <row r="10" spans="1:27" x14ac:dyDescent="0.25">
      <c r="A10" s="40">
        <v>5</v>
      </c>
      <c r="B10" s="41">
        <v>64</v>
      </c>
      <c r="C10" s="42">
        <f>B10-$B$55</f>
        <v>44</v>
      </c>
      <c r="D10" s="42">
        <v>13.79</v>
      </c>
      <c r="E10" s="42">
        <v>201.75</v>
      </c>
      <c r="F10" s="55">
        <f t="shared" si="1"/>
        <v>0.9263157894736842</v>
      </c>
      <c r="G10" s="46"/>
      <c r="H10" s="44">
        <f t="shared" si="2"/>
        <v>-0.17594501234368307</v>
      </c>
      <c r="I10" s="44">
        <f t="shared" si="3"/>
        <v>0.81724443437957794</v>
      </c>
      <c r="J10" s="44">
        <f>I10*$F$59</f>
        <v>1.7133342493512422</v>
      </c>
      <c r="K10" s="44">
        <f t="shared" si="4"/>
        <v>1.793949233960594</v>
      </c>
      <c r="L10" s="47">
        <f t="shared" si="0"/>
        <v>82.481222323092666</v>
      </c>
      <c r="M10" s="44">
        <f t="shared" si="5"/>
        <v>12.076665750648758</v>
      </c>
      <c r="N10" s="45">
        <f t="shared" si="6"/>
        <v>119.26877767690733</v>
      </c>
      <c r="O10" s="92"/>
      <c r="P10" s="92">
        <f t="shared" si="7"/>
        <v>12.076665750648758</v>
      </c>
      <c r="Q10" s="92"/>
    </row>
    <row r="11" spans="1:27" x14ac:dyDescent="0.25">
      <c r="A11" s="40">
        <v>6</v>
      </c>
      <c r="B11" s="41">
        <v>63</v>
      </c>
      <c r="C11" s="42">
        <f>B11-$B$55</f>
        <v>43</v>
      </c>
      <c r="D11" s="42">
        <v>13.14</v>
      </c>
      <c r="E11" s="42">
        <v>188.29</v>
      </c>
      <c r="F11" s="55">
        <f t="shared" si="1"/>
        <v>0.90526315789473688</v>
      </c>
      <c r="G11" s="46"/>
      <c r="H11" s="44">
        <f t="shared" si="2"/>
        <v>-0.16308320389396938</v>
      </c>
      <c r="I11" s="44">
        <f t="shared" si="3"/>
        <v>0.89414962380719187</v>
      </c>
      <c r="J11" s="44">
        <f>I11*$F$59</f>
        <v>1.8745642185699456</v>
      </c>
      <c r="K11" s="44">
        <f t="shared" si="4"/>
        <v>1.9413821281612393</v>
      </c>
      <c r="L11" s="47">
        <f t="shared" si="0"/>
        <v>80.687273089132077</v>
      </c>
      <c r="M11" s="44">
        <f t="shared" si="5"/>
        <v>11.265435781430055</v>
      </c>
      <c r="N11" s="45">
        <f t="shared" si="6"/>
        <v>107.60272691086791</v>
      </c>
      <c r="O11" s="92"/>
      <c r="P11" s="92">
        <f t="shared" si="7"/>
        <v>11.265435781430055</v>
      </c>
      <c r="Q11" s="92"/>
    </row>
    <row r="12" spans="1:27" x14ac:dyDescent="0.25">
      <c r="A12" s="40">
        <v>7</v>
      </c>
      <c r="B12" s="41">
        <v>62</v>
      </c>
      <c r="C12" s="42">
        <f>B12-$B$55</f>
        <v>42</v>
      </c>
      <c r="D12" s="42">
        <v>12.52</v>
      </c>
      <c r="E12" s="42">
        <v>175.46</v>
      </c>
      <c r="F12" s="55">
        <f t="shared" si="1"/>
        <v>0.88421052631578945</v>
      </c>
      <c r="G12" s="46"/>
      <c r="H12" s="44">
        <f t="shared" si="2"/>
        <v>-0.14958530639048431</v>
      </c>
      <c r="I12" s="44">
        <f t="shared" si="3"/>
        <v>0.95789266139724716</v>
      </c>
      <c r="J12" s="44">
        <f>I12*$F$59</f>
        <v>2.0082000377525331</v>
      </c>
      <c r="K12" s="44">
        <f t="shared" si="4"/>
        <v>2.0647142535955538</v>
      </c>
      <c r="L12" s="47">
        <f t="shared" si="0"/>
        <v>78.74589096097084</v>
      </c>
      <c r="M12" s="44">
        <f t="shared" si="5"/>
        <v>10.511799962247466</v>
      </c>
      <c r="N12" s="45">
        <f t="shared" si="6"/>
        <v>96.714109039029168</v>
      </c>
      <c r="O12" s="92"/>
      <c r="P12" s="92">
        <f t="shared" si="7"/>
        <v>10.511799962247466</v>
      </c>
      <c r="Q12" s="92"/>
    </row>
    <row r="13" spans="1:27" x14ac:dyDescent="0.25">
      <c r="A13" s="40">
        <v>8</v>
      </c>
      <c r="B13" s="41">
        <v>61</v>
      </c>
      <c r="C13" s="42">
        <f>B13-$B$55</f>
        <v>41</v>
      </c>
      <c r="D13" s="42">
        <v>11.66</v>
      </c>
      <c r="E13" s="42">
        <v>163.37</v>
      </c>
      <c r="F13" s="55">
        <f t="shared" si="1"/>
        <v>0.86315789473684212</v>
      </c>
      <c r="G13" s="46"/>
      <c r="H13" s="44">
        <f t="shared" si="2"/>
        <v>-0.13878916983013631</v>
      </c>
      <c r="I13" s="44">
        <f t="shared" si="3"/>
        <v>1.0118061676246786</v>
      </c>
      <c r="J13" s="44">
        <f>I13*$F$59</f>
        <v>2.1212284694385746</v>
      </c>
      <c r="K13" s="44">
        <f t="shared" si="4"/>
        <v>2.1695987702238031</v>
      </c>
      <c r="L13" s="47">
        <f t="shared" si="0"/>
        <v>76.681176707375286</v>
      </c>
      <c r="M13" s="44">
        <f t="shared" si="5"/>
        <v>9.5387715305614265</v>
      </c>
      <c r="N13" s="45">
        <f t="shared" si="6"/>
        <v>86.688823292624718</v>
      </c>
      <c r="O13" s="92"/>
      <c r="P13" s="92">
        <f t="shared" si="7"/>
        <v>9.5387715305614265</v>
      </c>
      <c r="Q13" s="92"/>
    </row>
    <row r="14" spans="1:27" s="53" customFormat="1" x14ac:dyDescent="0.25">
      <c r="A14" s="49">
        <v>9</v>
      </c>
      <c r="B14" s="67">
        <v>60</v>
      </c>
      <c r="C14" s="50">
        <f>B14-$B$55</f>
        <v>40</v>
      </c>
      <c r="D14" s="50">
        <v>10.86</v>
      </c>
      <c r="E14" s="50">
        <v>152.11000000000001</v>
      </c>
      <c r="F14" s="55">
        <f t="shared" si="1"/>
        <v>0.84210526315789469</v>
      </c>
      <c r="G14" s="58"/>
      <c r="H14" s="44">
        <f t="shared" si="2"/>
        <v>-0.12718499895400021</v>
      </c>
      <c r="I14" s="52">
        <f t="shared" si="3"/>
        <v>1.0579505310154909</v>
      </c>
      <c r="J14" s="44">
        <f>I14*$F$59</f>
        <v>2.2179690710090316</v>
      </c>
      <c r="K14" s="44">
        <f t="shared" si="4"/>
        <v>2.2596385647418247</v>
      </c>
      <c r="L14" s="47">
        <f t="shared" si="0"/>
        <v>74.511577937151486</v>
      </c>
      <c r="M14" s="44">
        <f t="shared" si="5"/>
        <v>8.6420309289909678</v>
      </c>
      <c r="N14" s="57">
        <f t="shared" si="6"/>
        <v>77.598422062848528</v>
      </c>
      <c r="O14" s="93"/>
      <c r="P14" s="92">
        <f t="shared" si="7"/>
        <v>8.6420309289909678</v>
      </c>
      <c r="Q14" s="93"/>
      <c r="Z14" s="54"/>
    </row>
    <row r="15" spans="1:27" x14ac:dyDescent="0.25">
      <c r="A15" s="40">
        <v>10</v>
      </c>
      <c r="B15" s="41">
        <v>59</v>
      </c>
      <c r="C15" s="42">
        <f>B15-$B$55</f>
        <v>39</v>
      </c>
      <c r="D15" s="42">
        <v>10.4</v>
      </c>
      <c r="E15" s="42">
        <v>141.47999999999999</v>
      </c>
      <c r="F15" s="55">
        <f t="shared" si="1"/>
        <v>0.82105263157894737</v>
      </c>
      <c r="G15" s="46"/>
      <c r="H15" s="44">
        <f t="shared" si="2"/>
        <v>-0.1112922706688684</v>
      </c>
      <c r="I15" s="44">
        <f t="shared" si="3"/>
        <v>1.0977024496495043</v>
      </c>
      <c r="J15" s="44">
        <f>I15*$F$59</f>
        <v>2.3013080584746173</v>
      </c>
      <c r="K15" s="44">
        <f t="shared" si="4"/>
        <v>2.337295454277287</v>
      </c>
      <c r="L15" s="47">
        <f t="shared" si="0"/>
        <v>72.251939372409666</v>
      </c>
      <c r="M15" s="44">
        <f t="shared" si="5"/>
        <v>8.0986919415253826</v>
      </c>
      <c r="N15" s="45">
        <f t="shared" si="6"/>
        <v>69.228060627590324</v>
      </c>
      <c r="O15" s="92"/>
      <c r="P15" s="92">
        <f t="shared" si="7"/>
        <v>8.0986919415253826</v>
      </c>
      <c r="Q15" s="92"/>
    </row>
    <row r="16" spans="1:27" x14ac:dyDescent="0.25">
      <c r="A16" s="40">
        <v>11</v>
      </c>
      <c r="B16" s="41">
        <v>58</v>
      </c>
      <c r="C16" s="42">
        <f>B16-$B$55</f>
        <v>38</v>
      </c>
      <c r="D16" s="42">
        <v>9.92</v>
      </c>
      <c r="E16" s="42">
        <v>131.32</v>
      </c>
      <c r="F16" s="55">
        <f t="shared" si="1"/>
        <v>0.8</v>
      </c>
      <c r="G16" s="46"/>
      <c r="H16" s="44">
        <f t="shared" si="2"/>
        <v>-9.5115411100214334E-2</v>
      </c>
      <c r="I16" s="44">
        <f t="shared" si="3"/>
        <v>1.1320337529998965</v>
      </c>
      <c r="J16" s="44">
        <f>I16*$F$59</f>
        <v>2.3732828500799572</v>
      </c>
      <c r="K16" s="44">
        <f t="shared" si="4"/>
        <v>2.4043371248332708</v>
      </c>
      <c r="L16" s="47">
        <f t="shared" si="0"/>
        <v>69.914643918132384</v>
      </c>
      <c r="M16" s="44">
        <f t="shared" si="5"/>
        <v>7.5467171499200427</v>
      </c>
      <c r="N16" s="45">
        <f t="shared" si="6"/>
        <v>61.405356081867609</v>
      </c>
      <c r="O16" s="92"/>
      <c r="P16" s="92">
        <f t="shared" si="7"/>
        <v>7.5467171499200427</v>
      </c>
      <c r="Q16" s="92"/>
    </row>
    <row r="17" spans="1:26" x14ac:dyDescent="0.25">
      <c r="A17" s="40">
        <v>12</v>
      </c>
      <c r="B17" s="41">
        <v>57</v>
      </c>
      <c r="C17" s="42">
        <f>B17-$B$55</f>
        <v>37</v>
      </c>
      <c r="D17" s="42">
        <v>9.44</v>
      </c>
      <c r="E17" s="42">
        <v>121.64</v>
      </c>
      <c r="F17" s="55">
        <f t="shared" si="1"/>
        <v>0.77894736842105261</v>
      </c>
      <c r="G17" s="46"/>
      <c r="H17" s="44">
        <f t="shared" si="2"/>
        <v>-7.8363919960796169E-2</v>
      </c>
      <c r="I17" s="44">
        <f t="shared" si="3"/>
        <v>1.1616589510200137</v>
      </c>
      <c r="J17" s="44">
        <f>I17*$F$59</f>
        <v>2.4353913995865843</v>
      </c>
      <c r="K17" s="44">
        <f t="shared" si="4"/>
        <v>2.4620805553423013</v>
      </c>
      <c r="L17" s="47">
        <f t="shared" si="0"/>
        <v>67.510306793299108</v>
      </c>
      <c r="M17" s="44">
        <f t="shared" si="5"/>
        <v>7.0046086004134152</v>
      </c>
      <c r="N17" s="45">
        <f t="shared" si="6"/>
        <v>54.129693206700892</v>
      </c>
      <c r="O17" s="92"/>
      <c r="P17" s="92">
        <f t="shared" si="7"/>
        <v>7.0046086004134152</v>
      </c>
      <c r="Q17" s="92"/>
    </row>
    <row r="18" spans="1:26" x14ac:dyDescent="0.25">
      <c r="A18" s="40">
        <v>13</v>
      </c>
      <c r="B18" s="41">
        <v>56</v>
      </c>
      <c r="C18" s="42">
        <f>B18-$B$55</f>
        <v>36</v>
      </c>
      <c r="D18" s="42">
        <v>8.93</v>
      </c>
      <c r="E18" s="42">
        <v>112.45</v>
      </c>
      <c r="F18" s="55">
        <f t="shared" si="1"/>
        <v>0.75789473684210529</v>
      </c>
      <c r="G18" s="46"/>
      <c r="H18" s="44">
        <f t="shared" si="2"/>
        <v>-6.1173764862193676E-2</v>
      </c>
      <c r="I18" s="44">
        <f t="shared" si="3"/>
        <v>1.187119907056944</v>
      </c>
      <c r="J18" s="44">
        <f>I18*$F$59</f>
        <v>2.4887697110980183</v>
      </c>
      <c r="K18" s="44">
        <f t="shared" si="4"/>
        <v>2.5115349714294419</v>
      </c>
      <c r="L18" s="47">
        <f t="shared" si="0"/>
        <v>65.048226237956811</v>
      </c>
      <c r="M18" s="44">
        <f t="shared" si="5"/>
        <v>6.4412302889019815</v>
      </c>
      <c r="N18" s="45">
        <f t="shared" si="6"/>
        <v>47.401773762043192</v>
      </c>
      <c r="O18" s="92"/>
      <c r="P18" s="92">
        <f t="shared" si="7"/>
        <v>6.4412302889019815</v>
      </c>
      <c r="Q18" s="92"/>
    </row>
    <row r="19" spans="1:26" x14ac:dyDescent="0.25">
      <c r="A19" s="40">
        <v>14</v>
      </c>
      <c r="B19" s="41">
        <v>55</v>
      </c>
      <c r="C19" s="42">
        <f>B19-$B$55</f>
        <v>35</v>
      </c>
      <c r="D19" s="42">
        <v>8.43</v>
      </c>
      <c r="E19" s="42">
        <v>103.77</v>
      </c>
      <c r="F19" s="55">
        <f t="shared" si="1"/>
        <v>0.73684210526315785</v>
      </c>
      <c r="G19" s="46"/>
      <c r="H19" s="44">
        <f t="shared" si="2"/>
        <v>-4.312513382136729E-2</v>
      </c>
      <c r="I19" s="44">
        <f t="shared" si="3"/>
        <v>1.2088375401575524</v>
      </c>
      <c r="J19" s="44">
        <f>I19*$F$59</f>
        <v>2.5343002317608661</v>
      </c>
      <c r="K19" s="44">
        <f t="shared" si="4"/>
        <v>2.5534907975929881</v>
      </c>
      <c r="L19" s="47">
        <f t="shared" si="0"/>
        <v>62.536691266527363</v>
      </c>
      <c r="M19" s="44">
        <f t="shared" si="5"/>
        <v>5.8956997682391332</v>
      </c>
      <c r="N19" s="45">
        <f t="shared" si="6"/>
        <v>41.233308733472633</v>
      </c>
      <c r="O19" s="92"/>
      <c r="P19" s="92">
        <f t="shared" si="7"/>
        <v>5.8956997682391332</v>
      </c>
      <c r="Q19" s="92"/>
    </row>
    <row r="20" spans="1:26" x14ac:dyDescent="0.25">
      <c r="A20" s="40">
        <v>15</v>
      </c>
      <c r="B20" s="41">
        <v>54</v>
      </c>
      <c r="C20" s="42">
        <f>B20-$B$55</f>
        <v>34</v>
      </c>
      <c r="D20" s="42">
        <v>7.94</v>
      </c>
      <c r="E20" s="48">
        <v>95.58</v>
      </c>
      <c r="F20" s="64">
        <f t="shared" si="1"/>
        <v>0.71578947368421053</v>
      </c>
      <c r="G20" s="65"/>
      <c r="H20" s="44">
        <f t="shared" si="2"/>
        <v>-2.4071010766063893E-2</v>
      </c>
      <c r="I20" s="44">
        <f t="shared" si="3"/>
        <v>1.2271449814811997</v>
      </c>
      <c r="J20" s="44">
        <f>I20*$F$59</f>
        <v>2.5726813634251098</v>
      </c>
      <c r="K20" s="44">
        <f t="shared" si="4"/>
        <v>2.5885776008342827</v>
      </c>
      <c r="L20" s="47">
        <f t="shared" si="0"/>
        <v>59.983200468934378</v>
      </c>
      <c r="M20" s="44">
        <f t="shared" si="5"/>
        <v>5.3673186365748906</v>
      </c>
      <c r="N20" s="45">
        <f t="shared" si="6"/>
        <v>35.596799531065621</v>
      </c>
      <c r="O20" s="92"/>
      <c r="P20" s="92">
        <f t="shared" si="7"/>
        <v>5.3673186365748906</v>
      </c>
      <c r="Q20" s="92"/>
    </row>
    <row r="21" spans="1:26" x14ac:dyDescent="0.25">
      <c r="A21" s="40">
        <v>16</v>
      </c>
      <c r="B21" s="41">
        <v>53</v>
      </c>
      <c r="C21" s="42">
        <f>B21-$B$55</f>
        <v>33</v>
      </c>
      <c r="D21" s="42">
        <v>7.48</v>
      </c>
      <c r="E21" s="42">
        <v>87.87</v>
      </c>
      <c r="F21" s="64">
        <f t="shared" si="1"/>
        <v>0.69473684210526321</v>
      </c>
      <c r="G21" s="65"/>
      <c r="H21" s="44">
        <f t="shared" si="2"/>
        <v>-3.8513417124148744E-3</v>
      </c>
      <c r="I21" s="44">
        <f t="shared" si="3"/>
        <v>1.2423096950274821</v>
      </c>
      <c r="J21" s="44">
        <f>I21*$F$59</f>
        <v>2.604473838243456</v>
      </c>
      <c r="K21" s="44">
        <f t="shared" si="4"/>
        <v>2.6173032562836931</v>
      </c>
      <c r="L21" s="47">
        <f t="shared" si="0"/>
        <v>57.394622868100093</v>
      </c>
      <c r="M21" s="44">
        <f t="shared" si="5"/>
        <v>4.8755261617565449</v>
      </c>
      <c r="N21" s="45">
        <f t="shared" si="6"/>
        <v>30.475377131899911</v>
      </c>
      <c r="O21" s="92"/>
      <c r="P21" s="92">
        <f t="shared" si="7"/>
        <v>4.8755261617565449</v>
      </c>
      <c r="Q21" s="92"/>
    </row>
    <row r="22" spans="1:26" x14ac:dyDescent="0.25">
      <c r="A22" s="40">
        <v>17</v>
      </c>
      <c r="B22" s="41">
        <v>52</v>
      </c>
      <c r="C22" s="42">
        <f>B22-$B$55</f>
        <v>32</v>
      </c>
      <c r="D22" s="42">
        <v>6.93</v>
      </c>
      <c r="E22" s="42">
        <v>80.67</v>
      </c>
      <c r="F22" s="51">
        <f t="shared" si="1"/>
        <v>0.67368421052631577</v>
      </c>
      <c r="G22" s="46"/>
      <c r="H22" s="44">
        <f t="shared" si="2"/>
        <v>1.7715860225044421E-2</v>
      </c>
      <c r="I22" s="44">
        <f t="shared" si="3"/>
        <v>1.2545487201840535</v>
      </c>
      <c r="J22" s="44">
        <f>I22*$F$59</f>
        <v>2.6301326743239302</v>
      </c>
      <c r="K22" s="44">
        <f t="shared" si="4"/>
        <v>2.6400812299186454</v>
      </c>
      <c r="L22" s="47">
        <f t="shared" si="0"/>
        <v>54.777319611816402</v>
      </c>
      <c r="M22" s="44">
        <f t="shared" si="5"/>
        <v>4.29986732567607</v>
      </c>
      <c r="N22" s="45">
        <f t="shared" si="6"/>
        <v>25.892680388183599</v>
      </c>
      <c r="O22" s="92"/>
      <c r="P22" s="92">
        <f t="shared" si="7"/>
        <v>4.29986732567607</v>
      </c>
      <c r="Q22" s="92"/>
    </row>
    <row r="23" spans="1:26" x14ac:dyDescent="0.25">
      <c r="A23" s="40">
        <v>18</v>
      </c>
      <c r="B23" s="41">
        <v>51</v>
      </c>
      <c r="C23" s="42">
        <f>B23-$B$55</f>
        <v>31</v>
      </c>
      <c r="D23" s="42">
        <v>6.41</v>
      </c>
      <c r="E23" s="42">
        <v>74</v>
      </c>
      <c r="F23" s="51">
        <f t="shared" si="1"/>
        <v>0.65263157894736845</v>
      </c>
      <c r="G23" s="46"/>
      <c r="H23" s="44">
        <f t="shared" si="2"/>
        <v>4.1059588766167991E-2</v>
      </c>
      <c r="I23" s="44">
        <f t="shared" si="3"/>
        <v>1.2640394563821717</v>
      </c>
      <c r="J23" s="44">
        <f>I23*$F$59</f>
        <v>2.6500297855133605</v>
      </c>
      <c r="K23" s="44">
        <f t="shared" si="4"/>
        <v>2.6572500555669549</v>
      </c>
      <c r="L23" s="47">
        <f t="shared" si="0"/>
        <v>52.13723838189776</v>
      </c>
      <c r="M23" s="44">
        <f t="shared" si="5"/>
        <v>3.7599702144866396</v>
      </c>
      <c r="N23" s="45">
        <f t="shared" si="6"/>
        <v>21.86276161810224</v>
      </c>
      <c r="O23" s="92"/>
      <c r="P23" s="92">
        <f t="shared" si="7"/>
        <v>3.7599702144866396</v>
      </c>
      <c r="Q23" s="92"/>
    </row>
    <row r="24" spans="1:26" x14ac:dyDescent="0.25">
      <c r="A24" s="40">
        <v>19</v>
      </c>
      <c r="B24" s="41">
        <v>50</v>
      </c>
      <c r="C24" s="42">
        <f>B24-$B$55</f>
        <v>30</v>
      </c>
      <c r="D24" s="42">
        <v>6.04</v>
      </c>
      <c r="E24" s="42">
        <v>67.77</v>
      </c>
      <c r="F24" s="51">
        <f t="shared" si="1"/>
        <v>0.63157894736842102</v>
      </c>
      <c r="G24" s="46"/>
      <c r="H24" s="44">
        <f t="shared" si="2"/>
        <v>6.5289711709930309E-2</v>
      </c>
      <c r="I24" s="44">
        <f t="shared" si="3"/>
        <v>1.2709274591384951</v>
      </c>
      <c r="J24" s="44">
        <f>I24*$F$59</f>
        <v>2.6644703256205489</v>
      </c>
      <c r="K24" s="44">
        <f t="shared" si="4"/>
        <v>2.6690875148095374</v>
      </c>
      <c r="L24" s="47">
        <f t="shared" si="0"/>
        <v>49.479988326330805</v>
      </c>
      <c r="M24" s="44">
        <f t="shared" si="5"/>
        <v>3.3755296743794512</v>
      </c>
      <c r="N24" s="45">
        <f t="shared" si="6"/>
        <v>18.290011673669191</v>
      </c>
      <c r="O24" s="92"/>
      <c r="P24" s="92">
        <f t="shared" si="7"/>
        <v>3.3755296743794512</v>
      </c>
      <c r="Q24" s="92"/>
    </row>
    <row r="25" spans="1:26" x14ac:dyDescent="0.25">
      <c r="A25" s="40">
        <v>20</v>
      </c>
      <c r="B25" s="41">
        <v>49</v>
      </c>
      <c r="C25" s="42">
        <f>B25-$B$55</f>
        <v>29</v>
      </c>
      <c r="D25" s="42">
        <v>5.65</v>
      </c>
      <c r="E25" s="42">
        <v>61.93</v>
      </c>
      <c r="F25" s="51">
        <f t="shared" si="1"/>
        <v>0.61052631578947369</v>
      </c>
      <c r="G25" s="46"/>
      <c r="H25" s="44">
        <f t="shared" si="2"/>
        <v>9.1557031353810894E-2</v>
      </c>
      <c r="I25" s="44">
        <f t="shared" si="3"/>
        <v>1.2753321713755932</v>
      </c>
      <c r="J25" s="44">
        <f>I25*$F$59</f>
        <v>2.6737047039985256</v>
      </c>
      <c r="K25" s="44">
        <f t="shared" si="4"/>
        <v>2.6758211154185325</v>
      </c>
      <c r="L25" s="47">
        <f t="shared" si="0"/>
        <v>46.810900811521265</v>
      </c>
      <c r="M25" s="44">
        <f t="shared" si="5"/>
        <v>2.9762952960014748</v>
      </c>
      <c r="N25" s="45">
        <f t="shared" si="6"/>
        <v>15.119099188478735</v>
      </c>
      <c r="O25" s="92"/>
      <c r="P25" s="92">
        <f t="shared" si="7"/>
        <v>2.9762952960014748</v>
      </c>
      <c r="Q25" s="92"/>
    </row>
    <row r="26" spans="1:26" x14ac:dyDescent="0.25">
      <c r="A26" s="40">
        <v>21</v>
      </c>
      <c r="B26" s="42">
        <v>48</v>
      </c>
      <c r="C26" s="42">
        <f>B26-$B$55</f>
        <v>28</v>
      </c>
      <c r="D26" s="42">
        <v>5.34</v>
      </c>
      <c r="E26" s="42">
        <v>56.44</v>
      </c>
      <c r="F26" s="51">
        <f t="shared" si="1"/>
        <v>0.58947368421052626</v>
      </c>
      <c r="G26" s="11"/>
      <c r="H26" s="44">
        <f t="shared" si="2"/>
        <v>0.11851613755008476</v>
      </c>
      <c r="I26" s="44">
        <f t="shared" si="3"/>
        <v>1.2773511883356672</v>
      </c>
      <c r="J26" s="44">
        <f>I26*$F$59</f>
        <v>2.677937526838539</v>
      </c>
      <c r="K26" s="44">
        <f t="shared" si="4"/>
        <v>2.6776359115823438</v>
      </c>
      <c r="L26" s="47">
        <f t="shared" si="0"/>
        <v>44.135079696102736</v>
      </c>
      <c r="M26" s="44">
        <f t="shared" si="5"/>
        <v>2.6620624731614608</v>
      </c>
      <c r="N26" s="45">
        <f t="shared" si="6"/>
        <v>12.304920303897262</v>
      </c>
      <c r="O26" s="92"/>
      <c r="P26" s="92">
        <f t="shared" si="7"/>
        <v>2.6620624731614608</v>
      </c>
      <c r="Q26" s="92"/>
    </row>
    <row r="27" spans="1:26" x14ac:dyDescent="0.25">
      <c r="A27" s="40">
        <v>22</v>
      </c>
      <c r="B27" s="42">
        <v>47</v>
      </c>
      <c r="C27" s="42">
        <f t="shared" ref="C27:C55" si="8">B27-$B$55</f>
        <v>27</v>
      </c>
      <c r="D27" s="42">
        <v>5.01</v>
      </c>
      <c r="E27" s="42">
        <v>51.26</v>
      </c>
      <c r="F27" s="51">
        <f t="shared" si="1"/>
        <v>0.56842105263157894</v>
      </c>
      <c r="G27" s="11"/>
      <c r="H27" s="44">
        <f t="shared" si="2"/>
        <v>0.14808958205516967</v>
      </c>
      <c r="I27" s="44">
        <f t="shared" si="3"/>
        <v>1.2770634530154368</v>
      </c>
      <c r="J27" s="44">
        <f>I27*$F$59</f>
        <v>2.6773342963261486</v>
      </c>
      <c r="K27" s="44">
        <f t="shared" si="4"/>
        <v>2.6746803631732243</v>
      </c>
      <c r="L27" s="47">
        <f t="shared" si="0"/>
        <v>41.457443784520393</v>
      </c>
      <c r="M27" s="44">
        <f t="shared" si="5"/>
        <v>2.3326657036738512</v>
      </c>
      <c r="N27" s="45">
        <f t="shared" si="6"/>
        <v>9.8025562154796049</v>
      </c>
      <c r="O27" s="92"/>
      <c r="P27" s="92">
        <f t="shared" si="7"/>
        <v>2.3326657036738512</v>
      </c>
      <c r="Q27" s="92"/>
    </row>
    <row r="28" spans="1:26" x14ac:dyDescent="0.25">
      <c r="A28" s="95">
        <v>23</v>
      </c>
      <c r="B28" s="96">
        <v>46</v>
      </c>
      <c r="C28" s="96">
        <f t="shared" si="8"/>
        <v>26</v>
      </c>
      <c r="D28" s="96">
        <v>4.71</v>
      </c>
      <c r="E28" s="96">
        <v>46.4</v>
      </c>
      <c r="F28" s="97">
        <f t="shared" si="1"/>
        <v>0.54736842105263162</v>
      </c>
      <c r="G28" s="98"/>
      <c r="H28" s="99">
        <f t="shared" si="2"/>
        <v>0.17924513706371215</v>
      </c>
      <c r="I28" s="99">
        <f t="shared" si="3"/>
        <v>1.2745316503630773</v>
      </c>
      <c r="J28" s="99">
        <f>I28*$F$59</f>
        <v>2.6720264300203</v>
      </c>
      <c r="K28" s="99">
        <f t="shared" si="4"/>
        <v>2.6670707074675657</v>
      </c>
      <c r="L28" s="100">
        <f t="shared" si="0"/>
        <v>38.78276342134717</v>
      </c>
      <c r="M28" s="99">
        <f t="shared" si="5"/>
        <v>2.0379735699796999</v>
      </c>
      <c r="N28" s="101">
        <f t="shared" si="6"/>
        <v>7.6172365786528289</v>
      </c>
      <c r="O28" s="110"/>
      <c r="P28" s="92">
        <f t="shared" si="7"/>
        <v>2.0379735699796999</v>
      </c>
      <c r="Q28" s="90">
        <f>N28/E28</f>
        <v>0.16416458143648338</v>
      </c>
      <c r="S28" s="90"/>
    </row>
    <row r="29" spans="1:26" s="61" customFormat="1" x14ac:dyDescent="0.25">
      <c r="A29" s="102">
        <v>24</v>
      </c>
      <c r="B29" s="103">
        <v>45</v>
      </c>
      <c r="C29" s="103">
        <f t="shared" si="8"/>
        <v>25</v>
      </c>
      <c r="D29" s="103">
        <v>4.41</v>
      </c>
      <c r="E29" s="103">
        <v>41.84</v>
      </c>
      <c r="F29" s="97">
        <f t="shared" si="1"/>
        <v>0.52631578947368418</v>
      </c>
      <c r="G29" s="104"/>
      <c r="H29" s="105">
        <f t="shared" si="2"/>
        <v>0.21320739128573338</v>
      </c>
      <c r="I29" s="105">
        <f t="shared" si="3"/>
        <v>1.2698039836207764</v>
      </c>
      <c r="J29" s="99">
        <f>I29*$F$59</f>
        <v>2.6621149849148313</v>
      </c>
      <c r="K29" s="99">
        <f t="shared" si="4"/>
        <v>2.6548941671636754</v>
      </c>
      <c r="L29" s="100">
        <f t="shared" si="0"/>
        <v>36.115692713879604</v>
      </c>
      <c r="M29" s="99">
        <f t="shared" si="5"/>
        <v>1.7478850150851688</v>
      </c>
      <c r="N29" s="101">
        <f t="shared" si="6"/>
        <v>5.7243072861203999</v>
      </c>
      <c r="O29" s="110"/>
      <c r="P29" s="92">
        <f t="shared" si="7"/>
        <v>1.7478850150851688</v>
      </c>
      <c r="Q29" s="92"/>
      <c r="Z29" s="62"/>
    </row>
    <row r="30" spans="1:26" s="53" customFormat="1" x14ac:dyDescent="0.25">
      <c r="A30" s="95">
        <v>25</v>
      </c>
      <c r="B30" s="96">
        <v>44</v>
      </c>
      <c r="C30" s="96">
        <f t="shared" si="8"/>
        <v>24</v>
      </c>
      <c r="D30" s="96">
        <v>4.1500000000000004</v>
      </c>
      <c r="E30" s="96">
        <v>37.56</v>
      </c>
      <c r="F30" s="97">
        <f t="shared" si="1"/>
        <v>0.50526315789473686</v>
      </c>
      <c r="G30" s="98"/>
      <c r="H30" s="99">
        <f t="shared" si="2"/>
        <v>0.24827707439228403</v>
      </c>
      <c r="I30" s="99">
        <f t="shared" si="3"/>
        <v>1.2629154583712103</v>
      </c>
      <c r="J30" s="99">
        <f>I30*$F$59</f>
        <v>2.64767334941252</v>
      </c>
      <c r="K30" s="99">
        <f t="shared" si="4"/>
        <v>2.6382112150217392</v>
      </c>
      <c r="L30" s="100">
        <f t="shared" si="0"/>
        <v>33.460798546715928</v>
      </c>
      <c r="M30" s="99">
        <f t="shared" si="5"/>
        <v>1.5023266505874804</v>
      </c>
      <c r="N30" s="101">
        <f t="shared" si="6"/>
        <v>4.0992014532840741</v>
      </c>
      <c r="O30" s="110"/>
      <c r="P30" s="92">
        <f t="shared" si="7"/>
        <v>1.5023266505874804</v>
      </c>
      <c r="Q30" s="92"/>
      <c r="Z30" s="54"/>
    </row>
    <row r="31" spans="1:26" x14ac:dyDescent="0.25">
      <c r="A31" s="95">
        <v>26</v>
      </c>
      <c r="B31" s="96">
        <v>43</v>
      </c>
      <c r="C31" s="96">
        <f t="shared" si="8"/>
        <v>23</v>
      </c>
      <c r="D31" s="96">
        <v>3.88</v>
      </c>
      <c r="E31" s="96">
        <v>33.54</v>
      </c>
      <c r="F31" s="97">
        <f t="shared" si="1"/>
        <v>0.48421052631578948</v>
      </c>
      <c r="G31" s="98"/>
      <c r="H31" s="99">
        <f t="shared" si="2"/>
        <v>0.28736634991632665</v>
      </c>
      <c r="I31" s="99">
        <f t="shared" si="3"/>
        <v>1.2538887589152865</v>
      </c>
      <c r="J31" s="99">
        <f>I31*$F$59</f>
        <v>2.6287490806309584</v>
      </c>
      <c r="K31" s="99">
        <f t="shared" si="4"/>
        <v>2.6170570406691382</v>
      </c>
      <c r="L31" s="100">
        <f t="shared" si="0"/>
        <v>30.822587331694187</v>
      </c>
      <c r="M31" s="99">
        <f t="shared" si="5"/>
        <v>1.2512509193690415</v>
      </c>
      <c r="N31" s="101">
        <f t="shared" si="6"/>
        <v>2.717412668305812</v>
      </c>
      <c r="O31" s="110"/>
      <c r="P31" s="92">
        <f t="shared" si="7"/>
        <v>1.2512509193690415</v>
      </c>
      <c r="Q31" s="92"/>
    </row>
    <row r="32" spans="1:26" x14ac:dyDescent="0.25">
      <c r="A32" s="95">
        <v>27</v>
      </c>
      <c r="B32" s="96">
        <v>42</v>
      </c>
      <c r="C32" s="96">
        <f t="shared" si="8"/>
        <v>22</v>
      </c>
      <c r="D32" s="96">
        <v>3.61</v>
      </c>
      <c r="E32" s="96">
        <v>29.8</v>
      </c>
      <c r="F32" s="97">
        <f t="shared" si="1"/>
        <v>0.4631578947368421</v>
      </c>
      <c r="G32" s="98"/>
      <c r="H32" s="99">
        <f t="shared" si="2"/>
        <v>0.33066988359573701</v>
      </c>
      <c r="I32" s="99">
        <f t="shared" si="3"/>
        <v>1.2427347711992767</v>
      </c>
      <c r="J32" s="99">
        <f>I32*$F$59</f>
        <v>2.6053650007073177</v>
      </c>
      <c r="K32" s="99">
        <f t="shared" si="4"/>
        <v>2.5914423079631295</v>
      </c>
      <c r="L32" s="100">
        <f t="shared" si="0"/>
        <v>28.205530291025049</v>
      </c>
      <c r="M32" s="99">
        <f t="shared" si="5"/>
        <v>1.0046349992926822</v>
      </c>
      <c r="N32" s="101">
        <f t="shared" si="6"/>
        <v>1.5944697089749518</v>
      </c>
      <c r="O32" s="110"/>
      <c r="P32" s="92">
        <f t="shared" si="7"/>
        <v>1.0046349992926822</v>
      </c>
      <c r="Q32" s="92"/>
    </row>
    <row r="33" spans="1:26" s="53" customFormat="1" x14ac:dyDescent="0.25">
      <c r="A33" s="95">
        <v>28</v>
      </c>
      <c r="B33" s="96">
        <v>41</v>
      </c>
      <c r="C33" s="96">
        <f t="shared" si="8"/>
        <v>21</v>
      </c>
      <c r="D33" s="103">
        <v>3.34</v>
      </c>
      <c r="E33" s="96">
        <v>26.33</v>
      </c>
      <c r="F33" s="97">
        <f t="shared" si="1"/>
        <v>0.44210526315789472</v>
      </c>
      <c r="G33" s="98"/>
      <c r="H33" s="99">
        <f t="shared" si="2"/>
        <v>0.37927272795196343</v>
      </c>
      <c r="I33" s="105">
        <f t="shared" si="3"/>
        <v>1.2294527823975314</v>
      </c>
      <c r="J33" s="99">
        <f>I33*$F$59</f>
        <v>2.5775196152189408</v>
      </c>
      <c r="K33" s="99">
        <f t="shared" si="4"/>
        <v>2.5613532441767832</v>
      </c>
      <c r="L33" s="100">
        <f t="shared" si="0"/>
        <v>25.614087983061921</v>
      </c>
      <c r="M33" s="99">
        <f t="shared" si="5"/>
        <v>0.76248038478105906</v>
      </c>
      <c r="N33" s="101">
        <f t="shared" si="6"/>
        <v>0.71591201693807704</v>
      </c>
      <c r="O33" s="110"/>
      <c r="P33" s="92">
        <f t="shared" si="7"/>
        <v>0.76248038478105906</v>
      </c>
      <c r="Q33" s="92"/>
      <c r="Z33" s="54"/>
    </row>
    <row r="34" spans="1:26" s="53" customFormat="1" x14ac:dyDescent="0.25">
      <c r="A34" s="95">
        <v>29</v>
      </c>
      <c r="B34" s="96">
        <v>40</v>
      </c>
      <c r="C34" s="96">
        <f t="shared" si="8"/>
        <v>20</v>
      </c>
      <c r="D34" s="96">
        <v>3.06</v>
      </c>
      <c r="E34" s="96">
        <v>23.13</v>
      </c>
      <c r="F34" s="97">
        <f t="shared" si="1"/>
        <v>0.42105263157894735</v>
      </c>
      <c r="G34" s="98"/>
      <c r="H34" s="99">
        <f t="shared" si="2"/>
        <v>0.43599324588633648</v>
      </c>
      <c r="I34" s="99">
        <f t="shared" si="3"/>
        <v>1.2140303664114842</v>
      </c>
      <c r="J34" s="99">
        <f>I34*$F$59</f>
        <v>2.5451868731346257</v>
      </c>
      <c r="K34" s="99">
        <f t="shared" si="4"/>
        <v>2.5267510594252824</v>
      </c>
      <c r="L34" s="100">
        <f t="shared" si="0"/>
        <v>23.052734738885139</v>
      </c>
      <c r="M34" s="99">
        <f t="shared" si="5"/>
        <v>0.51481312686537439</v>
      </c>
      <c r="N34" s="101">
        <f t="shared" si="6"/>
        <v>7.7265261114860095E-2</v>
      </c>
      <c r="O34" s="110"/>
      <c r="P34" s="92">
        <f t="shared" si="7"/>
        <v>0.51481312686537439</v>
      </c>
      <c r="Q34" s="92"/>
      <c r="Z34" s="54"/>
    </row>
    <row r="35" spans="1:26" x14ac:dyDescent="0.25">
      <c r="A35" s="95">
        <v>30</v>
      </c>
      <c r="B35" s="96">
        <v>39</v>
      </c>
      <c r="C35" s="96">
        <f t="shared" si="8"/>
        <v>19</v>
      </c>
      <c r="D35" s="96">
        <v>2.78</v>
      </c>
      <c r="E35" s="96">
        <v>20.21</v>
      </c>
      <c r="F35" s="97">
        <f t="shared" si="1"/>
        <v>0.4</v>
      </c>
      <c r="G35" s="98"/>
      <c r="H35" s="99">
        <f t="shared" si="2"/>
        <v>0.50201907072759566</v>
      </c>
      <c r="I35" s="99">
        <f t="shared" si="3"/>
        <v>1.1964429445141813</v>
      </c>
      <c r="J35" s="99">
        <f>I35*$F$59</f>
        <v>2.5083152457159392</v>
      </c>
      <c r="K35" s="99">
        <f t="shared" si="4"/>
        <v>2.487570651158912</v>
      </c>
      <c r="L35" s="100">
        <f t="shared" si="0"/>
        <v>20.525983679459856</v>
      </c>
      <c r="M35" s="99">
        <f t="shared" si="5"/>
        <v>0.27168475428406058</v>
      </c>
      <c r="N35" s="101">
        <v>0</v>
      </c>
      <c r="O35" s="110"/>
      <c r="P35" s="92">
        <f t="shared" si="7"/>
        <v>0.27168475428406058</v>
      </c>
      <c r="Q35" s="92"/>
    </row>
    <row r="36" spans="1:26" x14ac:dyDescent="0.25">
      <c r="A36" s="95">
        <v>31</v>
      </c>
      <c r="B36" s="96">
        <v>38</v>
      </c>
      <c r="C36" s="96">
        <f t="shared" si="8"/>
        <v>18</v>
      </c>
      <c r="D36" s="96">
        <v>2.52</v>
      </c>
      <c r="E36" s="96">
        <v>17.559999999999999</v>
      </c>
      <c r="F36" s="97">
        <f t="shared" si="1"/>
        <v>0.37894736842105264</v>
      </c>
      <c r="G36" s="98"/>
      <c r="H36" s="99">
        <f t="shared" si="2"/>
        <v>0.5759533691694152</v>
      </c>
      <c r="I36" s="99">
        <f t="shared" si="3"/>
        <v>1.1766529888162656</v>
      </c>
      <c r="J36" s="99">
        <f>I36*$F$59</f>
        <v>2.4668260566018847</v>
      </c>
      <c r="K36" s="99">
        <f>((J36+J37)/2)*(B36-B38)</f>
        <v>2.4484130283009424</v>
      </c>
      <c r="L36" s="100">
        <f>L37+K36</f>
        <v>18.038413028300944</v>
      </c>
      <c r="M36" s="99">
        <f t="shared" si="5"/>
        <v>5.317394339811532E-2</v>
      </c>
      <c r="N36" s="101">
        <v>0</v>
      </c>
      <c r="O36" s="110"/>
      <c r="P36" s="92">
        <f t="shared" si="7"/>
        <v>5.317394339811532E-2</v>
      </c>
      <c r="Q36" s="92"/>
    </row>
    <row r="37" spans="1:26" s="126" customFormat="1" x14ac:dyDescent="0.25">
      <c r="A37" s="118" t="s">
        <v>98</v>
      </c>
      <c r="B37" s="128">
        <f>G58</f>
        <v>37.195</v>
      </c>
      <c r="C37" s="128">
        <f t="shared" si="8"/>
        <v>17.195</v>
      </c>
      <c r="D37" s="119">
        <v>2.4300000000000002</v>
      </c>
      <c r="E37" s="119">
        <v>15.59</v>
      </c>
      <c r="F37" s="120">
        <f t="shared" si="1"/>
        <v>0.36199999999999999</v>
      </c>
      <c r="G37" s="121"/>
      <c r="H37" s="122">
        <f t="shared" si="2"/>
        <v>0.6143523351923672</v>
      </c>
      <c r="I37" s="122">
        <f t="shared" si="3"/>
        <v>1.1590873037729452</v>
      </c>
      <c r="J37" s="122">
        <f>D37</f>
        <v>2.4300000000000002</v>
      </c>
      <c r="K37" s="122">
        <f>E37</f>
        <v>15.59</v>
      </c>
      <c r="L37" s="123">
        <f>K37</f>
        <v>15.59</v>
      </c>
      <c r="M37" s="122">
        <f t="shared" si="5"/>
        <v>0</v>
      </c>
      <c r="N37" s="124">
        <f t="shared" si="6"/>
        <v>0</v>
      </c>
      <c r="O37" s="125"/>
      <c r="P37" s="125">
        <f t="shared" si="7"/>
        <v>0</v>
      </c>
      <c r="Q37" s="125"/>
      <c r="Z37" s="127"/>
    </row>
    <row r="38" spans="1:26" x14ac:dyDescent="0.25">
      <c r="A38" s="113">
        <v>32</v>
      </c>
      <c r="B38" s="114">
        <v>37</v>
      </c>
      <c r="C38" s="114">
        <f t="shared" si="8"/>
        <v>17</v>
      </c>
      <c r="D38" s="114">
        <v>2.3199999999999998</v>
      </c>
      <c r="E38" s="114">
        <v>15.17</v>
      </c>
      <c r="F38" s="115">
        <f t="shared" si="1"/>
        <v>0.35789473684210527</v>
      </c>
      <c r="G38" s="116"/>
      <c r="H38" s="111">
        <f t="shared" si="2"/>
        <v>0.6472923619744011</v>
      </c>
      <c r="I38" s="111">
        <f t="shared" si="3"/>
        <v>1.1546088104979244</v>
      </c>
      <c r="J38" s="111">
        <f>D38</f>
        <v>2.3199999999999998</v>
      </c>
      <c r="K38" s="111">
        <f>E38</f>
        <v>15.17</v>
      </c>
      <c r="L38" s="117">
        <f>K38</f>
        <v>15.17</v>
      </c>
      <c r="M38" s="111">
        <f>D38-J38</f>
        <v>0</v>
      </c>
      <c r="N38" s="112">
        <f t="shared" si="6"/>
        <v>0</v>
      </c>
      <c r="O38" s="110"/>
      <c r="P38" s="92">
        <f t="shared" si="7"/>
        <v>0</v>
      </c>
      <c r="Q38" s="94"/>
    </row>
    <row r="39" spans="1:26" s="53" customFormat="1" x14ac:dyDescent="0.25">
      <c r="A39" s="95">
        <v>33</v>
      </c>
      <c r="B39" s="96">
        <v>36</v>
      </c>
      <c r="C39" s="96">
        <f t="shared" si="8"/>
        <v>16</v>
      </c>
      <c r="D39" s="103">
        <v>2.11</v>
      </c>
      <c r="E39" s="96">
        <v>12.96</v>
      </c>
      <c r="F39" s="97">
        <f t="shared" si="1"/>
        <v>0.33684210526315789</v>
      </c>
      <c r="G39" s="98"/>
      <c r="H39" s="99">
        <f t="shared" si="2"/>
        <v>0.73376521117065596</v>
      </c>
      <c r="I39" s="105">
        <f t="shared" si="3"/>
        <v>1.130242841331722</v>
      </c>
      <c r="J39" s="99">
        <f>D39</f>
        <v>2.11</v>
      </c>
      <c r="K39" s="99">
        <f t="shared" ref="K39:K55" si="9">E39</f>
        <v>12.96</v>
      </c>
      <c r="L39" s="99">
        <f>K39</f>
        <v>12.96</v>
      </c>
      <c r="M39" s="99">
        <f t="shared" si="5"/>
        <v>0</v>
      </c>
      <c r="N39" s="101">
        <f t="shared" si="6"/>
        <v>0</v>
      </c>
      <c r="O39" s="110"/>
      <c r="P39" s="92">
        <f t="shared" si="7"/>
        <v>0</v>
      </c>
      <c r="Q39" s="92"/>
      <c r="Z39" s="54"/>
    </row>
    <row r="40" spans="1:26" x14ac:dyDescent="0.25">
      <c r="A40" s="95">
        <v>34</v>
      </c>
      <c r="B40" s="96">
        <v>35</v>
      </c>
      <c r="C40" s="96">
        <f t="shared" si="8"/>
        <v>15</v>
      </c>
      <c r="D40" s="96">
        <v>1.91</v>
      </c>
      <c r="E40" s="96">
        <v>10.95</v>
      </c>
      <c r="F40" s="97">
        <f t="shared" si="1"/>
        <v>0.31578947368421051</v>
      </c>
      <c r="G40" s="98"/>
      <c r="H40" s="99">
        <f t="shared" si="2"/>
        <v>0.83275412829516671</v>
      </c>
      <c r="I40" s="99">
        <f t="shared" si="3"/>
        <v>1.1034692707587628</v>
      </c>
      <c r="J40" s="99">
        <f t="shared" ref="J40:J55" si="10">D40</f>
        <v>1.91</v>
      </c>
      <c r="K40" s="99">
        <f t="shared" si="9"/>
        <v>10.95</v>
      </c>
      <c r="L40" s="99">
        <f t="shared" ref="L40:L55" si="11">K40</f>
        <v>10.95</v>
      </c>
      <c r="M40" s="99">
        <f t="shared" si="5"/>
        <v>0</v>
      </c>
      <c r="N40" s="101">
        <f t="shared" si="6"/>
        <v>0</v>
      </c>
      <c r="O40" s="110"/>
      <c r="P40" s="92">
        <f t="shared" si="7"/>
        <v>0</v>
      </c>
      <c r="Q40" s="92"/>
    </row>
    <row r="41" spans="1:26" x14ac:dyDescent="0.25">
      <c r="A41" s="95">
        <v>35</v>
      </c>
      <c r="B41" s="96">
        <v>34</v>
      </c>
      <c r="C41" s="96">
        <f t="shared" si="8"/>
        <v>14</v>
      </c>
      <c r="D41" s="96">
        <v>1.74</v>
      </c>
      <c r="E41" s="96">
        <v>9.1199999999999992</v>
      </c>
      <c r="F41" s="97">
        <f t="shared" si="1"/>
        <v>0.29473684210526313</v>
      </c>
      <c r="G41" s="98"/>
      <c r="H41" s="99">
        <f t="shared" si="2"/>
        <v>0.93625672461680565</v>
      </c>
      <c r="I41" s="99">
        <f t="shared" si="3"/>
        <v>1.0741808335573437</v>
      </c>
      <c r="J41" s="99">
        <f t="shared" si="10"/>
        <v>1.74</v>
      </c>
      <c r="K41" s="99">
        <f t="shared" si="9"/>
        <v>9.1199999999999992</v>
      </c>
      <c r="L41" s="99">
        <f t="shared" si="11"/>
        <v>9.1199999999999992</v>
      </c>
      <c r="M41" s="99">
        <f t="shared" si="5"/>
        <v>0</v>
      </c>
      <c r="N41" s="101">
        <f t="shared" si="6"/>
        <v>0</v>
      </c>
      <c r="O41" s="110"/>
      <c r="P41" s="92">
        <f t="shared" si="7"/>
        <v>0</v>
      </c>
      <c r="Q41" s="92"/>
    </row>
    <row r="42" spans="1:26" x14ac:dyDescent="0.25">
      <c r="A42" s="95">
        <v>36</v>
      </c>
      <c r="B42" s="96">
        <v>33</v>
      </c>
      <c r="C42" s="96">
        <f t="shared" si="8"/>
        <v>13</v>
      </c>
      <c r="D42" s="96">
        <v>1.57</v>
      </c>
      <c r="E42" s="96">
        <v>7.47</v>
      </c>
      <c r="F42" s="97">
        <f t="shared" si="1"/>
        <v>0.27368421052631581</v>
      </c>
      <c r="G42" s="98"/>
      <c r="H42" s="99">
        <f t="shared" si="2"/>
        <v>1.0597602184321688</v>
      </c>
      <c r="I42" s="99">
        <f t="shared" si="3"/>
        <v>1.0422444415195253</v>
      </c>
      <c r="J42" s="99">
        <f t="shared" si="10"/>
        <v>1.57</v>
      </c>
      <c r="K42" s="99">
        <f t="shared" si="9"/>
        <v>7.47</v>
      </c>
      <c r="L42" s="99">
        <f t="shared" si="11"/>
        <v>7.47</v>
      </c>
      <c r="M42" s="99">
        <f t="shared" si="5"/>
        <v>0</v>
      </c>
      <c r="N42" s="101">
        <f t="shared" si="6"/>
        <v>0</v>
      </c>
      <c r="O42" s="110"/>
      <c r="P42" s="92">
        <f t="shared" si="7"/>
        <v>0</v>
      </c>
      <c r="Q42" s="92"/>
    </row>
    <row r="43" spans="1:26" x14ac:dyDescent="0.25">
      <c r="A43" s="95">
        <v>37</v>
      </c>
      <c r="B43" s="96">
        <v>32</v>
      </c>
      <c r="C43" s="96">
        <f t="shared" si="8"/>
        <v>12</v>
      </c>
      <c r="D43" s="96">
        <v>1.4</v>
      </c>
      <c r="E43" s="96">
        <v>5.98</v>
      </c>
      <c r="F43" s="97">
        <f t="shared" si="1"/>
        <v>0.25263157894736843</v>
      </c>
      <c r="G43" s="98"/>
      <c r="H43" s="99">
        <f t="shared" si="2"/>
        <v>1.2108514028508119</v>
      </c>
      <c r="I43" s="99">
        <f t="shared" si="3"/>
        <v>1.0074951933290159</v>
      </c>
      <c r="J43" s="99">
        <f t="shared" si="10"/>
        <v>1.4</v>
      </c>
      <c r="K43" s="99">
        <f t="shared" si="9"/>
        <v>5.98</v>
      </c>
      <c r="L43" s="99">
        <f t="shared" si="11"/>
        <v>5.98</v>
      </c>
      <c r="M43" s="99">
        <f t="shared" si="5"/>
        <v>0</v>
      </c>
      <c r="N43" s="101">
        <f t="shared" si="6"/>
        <v>0</v>
      </c>
      <c r="O43" s="110"/>
      <c r="P43" s="92">
        <f t="shared" si="7"/>
        <v>0</v>
      </c>
      <c r="Q43" s="92"/>
    </row>
    <row r="44" spans="1:26" x14ac:dyDescent="0.25">
      <c r="A44" s="95">
        <v>38</v>
      </c>
      <c r="B44" s="96">
        <v>31</v>
      </c>
      <c r="C44" s="96">
        <f t="shared" si="8"/>
        <v>11</v>
      </c>
      <c r="D44" s="96">
        <v>1.19</v>
      </c>
      <c r="E44" s="96">
        <v>4.6900000000000004</v>
      </c>
      <c r="F44" s="97">
        <f t="shared" si="1"/>
        <v>0.23157894736842105</v>
      </c>
      <c r="G44" s="98"/>
      <c r="H44" s="99">
        <f t="shared" si="2"/>
        <v>1.4473528224604866</v>
      </c>
      <c r="I44" s="99">
        <f t="shared" si="3"/>
        <v>0.9697280383203164</v>
      </c>
      <c r="J44" s="99">
        <f t="shared" si="10"/>
        <v>1.19</v>
      </c>
      <c r="K44" s="99">
        <f t="shared" si="9"/>
        <v>4.6900000000000004</v>
      </c>
      <c r="L44" s="99">
        <f t="shared" si="11"/>
        <v>4.6900000000000004</v>
      </c>
      <c r="M44" s="99">
        <f t="shared" si="5"/>
        <v>0</v>
      </c>
      <c r="N44" s="101">
        <f t="shared" si="6"/>
        <v>0</v>
      </c>
      <c r="O44" s="110"/>
      <c r="P44" s="92">
        <f t="shared" si="7"/>
        <v>0</v>
      </c>
      <c r="Q44" s="92"/>
    </row>
    <row r="45" spans="1:26" s="53" customFormat="1" x14ac:dyDescent="0.25">
      <c r="A45" s="95">
        <v>39</v>
      </c>
      <c r="B45" s="96">
        <v>30</v>
      </c>
      <c r="C45" s="96">
        <f t="shared" si="8"/>
        <v>10</v>
      </c>
      <c r="D45" s="96">
        <v>0.98</v>
      </c>
      <c r="E45" s="96">
        <v>3.6</v>
      </c>
      <c r="F45" s="97">
        <f t="shared" si="1"/>
        <v>0.21052631578947367</v>
      </c>
      <c r="G45" s="98"/>
      <c r="H45" s="99">
        <f t="shared" si="2"/>
        <v>1.7809155379071753</v>
      </c>
      <c r="I45" s="99">
        <f t="shared" si="3"/>
        <v>0.92868593376425279</v>
      </c>
      <c r="J45" s="99">
        <f t="shared" si="10"/>
        <v>0.98</v>
      </c>
      <c r="K45" s="99">
        <f t="shared" si="9"/>
        <v>3.6</v>
      </c>
      <c r="L45" s="99">
        <f t="shared" si="11"/>
        <v>3.6</v>
      </c>
      <c r="M45" s="99">
        <f t="shared" si="5"/>
        <v>0</v>
      </c>
      <c r="N45" s="101">
        <f t="shared" si="6"/>
        <v>0</v>
      </c>
      <c r="O45" s="110"/>
      <c r="P45" s="92">
        <f t="shared" si="7"/>
        <v>0</v>
      </c>
      <c r="Q45" s="92"/>
      <c r="Z45" s="54"/>
    </row>
    <row r="46" spans="1:26" x14ac:dyDescent="0.25">
      <c r="A46" s="95">
        <v>40</v>
      </c>
      <c r="B46" s="96">
        <v>29</v>
      </c>
      <c r="C46" s="96">
        <f t="shared" si="8"/>
        <v>9</v>
      </c>
      <c r="D46" s="96">
        <v>0.78</v>
      </c>
      <c r="E46" s="96">
        <v>2.72</v>
      </c>
      <c r="F46" s="97">
        <f t="shared" si="1"/>
        <v>0.18947368421052632</v>
      </c>
      <c r="G46" s="98"/>
      <c r="H46" s="99">
        <f t="shared" si="2"/>
        <v>2.2613122345365451</v>
      </c>
      <c r="I46" s="99">
        <f t="shared" si="3"/>
        <v>0.88404256770938072</v>
      </c>
      <c r="J46" s="99">
        <f t="shared" si="10"/>
        <v>0.78</v>
      </c>
      <c r="K46" s="99">
        <f t="shared" si="9"/>
        <v>2.72</v>
      </c>
      <c r="L46" s="99">
        <f t="shared" si="11"/>
        <v>2.72</v>
      </c>
      <c r="M46" s="99">
        <f t="shared" si="5"/>
        <v>0</v>
      </c>
      <c r="N46" s="101">
        <f t="shared" si="6"/>
        <v>0</v>
      </c>
      <c r="O46" s="110"/>
      <c r="P46" s="92">
        <f t="shared" si="7"/>
        <v>0</v>
      </c>
      <c r="Q46" s="92"/>
    </row>
    <row r="47" spans="1:26" x14ac:dyDescent="0.25">
      <c r="A47" s="95">
        <v>41</v>
      </c>
      <c r="B47" s="96">
        <v>28</v>
      </c>
      <c r="C47" s="96">
        <f t="shared" si="8"/>
        <v>8</v>
      </c>
      <c r="D47" s="96">
        <v>0.63</v>
      </c>
      <c r="E47" s="96">
        <v>2.02</v>
      </c>
      <c r="F47" s="97">
        <f t="shared" si="1"/>
        <v>0.16842105263157894</v>
      </c>
      <c r="G47" s="98"/>
      <c r="H47" s="99">
        <f t="shared" si="2"/>
        <v>2.8231117222916962</v>
      </c>
      <c r="I47" s="99">
        <f t="shared" si="3"/>
        <v>0.83537629933643109</v>
      </c>
      <c r="J47" s="99">
        <f t="shared" si="10"/>
        <v>0.63</v>
      </c>
      <c r="K47" s="99">
        <f t="shared" si="9"/>
        <v>2.02</v>
      </c>
      <c r="L47" s="99">
        <f t="shared" si="11"/>
        <v>2.02</v>
      </c>
      <c r="M47" s="99">
        <f t="shared" si="5"/>
        <v>0</v>
      </c>
      <c r="N47" s="101">
        <f t="shared" si="6"/>
        <v>0</v>
      </c>
      <c r="O47" s="110"/>
      <c r="P47" s="92">
        <f t="shared" si="7"/>
        <v>0</v>
      </c>
      <c r="Q47" s="92"/>
    </row>
    <row r="48" spans="1:26" x14ac:dyDescent="0.25">
      <c r="A48" s="95">
        <v>42</v>
      </c>
      <c r="B48" s="96">
        <v>27</v>
      </c>
      <c r="C48" s="96">
        <f t="shared" si="8"/>
        <v>7</v>
      </c>
      <c r="D48" s="96">
        <v>0.51</v>
      </c>
      <c r="E48" s="96">
        <v>1.45</v>
      </c>
      <c r="F48" s="97">
        <f t="shared" si="1"/>
        <v>0.14736842105263157</v>
      </c>
      <c r="G48" s="98"/>
      <c r="H48" s="99">
        <f t="shared" si="2"/>
        <v>3.5109027157720947</v>
      </c>
      <c r="I48" s="99">
        <f t="shared" si="3"/>
        <v>0.78212918204352344</v>
      </c>
      <c r="J48" s="99">
        <f t="shared" si="10"/>
        <v>0.51</v>
      </c>
      <c r="K48" s="99">
        <f t="shared" si="9"/>
        <v>1.45</v>
      </c>
      <c r="L48" s="99">
        <f t="shared" si="11"/>
        <v>1.45</v>
      </c>
      <c r="M48" s="99">
        <f>D48-J48</f>
        <v>0</v>
      </c>
      <c r="N48" s="101">
        <f t="shared" si="6"/>
        <v>0</v>
      </c>
      <c r="O48" s="110"/>
      <c r="P48" s="92">
        <f t="shared" si="7"/>
        <v>0</v>
      </c>
      <c r="Q48" s="92"/>
    </row>
    <row r="49" spans="1:17" x14ac:dyDescent="0.25">
      <c r="A49" s="95">
        <v>43</v>
      </c>
      <c r="B49" s="96">
        <v>26</v>
      </c>
      <c r="C49" s="96">
        <f t="shared" si="8"/>
        <v>6</v>
      </c>
      <c r="D49" s="96">
        <v>0.39</v>
      </c>
      <c r="E49" s="96">
        <v>1</v>
      </c>
      <c r="F49" s="97">
        <f t="shared" si="1"/>
        <v>0.12631578947368421</v>
      </c>
      <c r="G49" s="98"/>
      <c r="H49" s="99">
        <f t="shared" si="2"/>
        <v>4.6154719724469091</v>
      </c>
      <c r="I49" s="99">
        <f t="shared" si="3"/>
        <v>0.72353905814477892</v>
      </c>
      <c r="J49" s="99">
        <f t="shared" si="10"/>
        <v>0.39</v>
      </c>
      <c r="K49" s="99">
        <f t="shared" si="9"/>
        <v>1</v>
      </c>
      <c r="L49" s="99">
        <f t="shared" si="11"/>
        <v>1</v>
      </c>
      <c r="M49" s="99">
        <f t="shared" si="5"/>
        <v>0</v>
      </c>
      <c r="N49" s="101">
        <f t="shared" si="6"/>
        <v>0</v>
      </c>
      <c r="O49" s="110"/>
      <c r="P49" s="92">
        <f t="shared" si="7"/>
        <v>0</v>
      </c>
      <c r="Q49" s="92"/>
    </row>
    <row r="50" spans="1:17" ht="14.45" customHeight="1" x14ac:dyDescent="0.25">
      <c r="A50" s="95">
        <v>44</v>
      </c>
      <c r="B50" s="96">
        <v>25</v>
      </c>
      <c r="C50" s="96">
        <f t="shared" si="8"/>
        <v>5</v>
      </c>
      <c r="D50" s="96">
        <v>0.28000000000000003</v>
      </c>
      <c r="E50" s="96">
        <v>0.66</v>
      </c>
      <c r="F50" s="97">
        <f t="shared" si="1"/>
        <v>0.10526315789473684</v>
      </c>
      <c r="G50" s="98"/>
      <c r="H50" s="99">
        <f t="shared" si="2"/>
        <v>6.4542570142540603</v>
      </c>
      <c r="I50" s="99">
        <f t="shared" si="3"/>
        <v>0.65851915408069273</v>
      </c>
      <c r="J50" s="99">
        <f t="shared" si="10"/>
        <v>0.28000000000000003</v>
      </c>
      <c r="K50" s="99">
        <f t="shared" si="9"/>
        <v>0.66</v>
      </c>
      <c r="L50" s="99">
        <f t="shared" si="11"/>
        <v>0.66</v>
      </c>
      <c r="M50" s="99">
        <f t="shared" si="5"/>
        <v>0</v>
      </c>
      <c r="N50" s="101">
        <f t="shared" si="6"/>
        <v>0</v>
      </c>
      <c r="O50" s="110"/>
      <c r="P50" s="92">
        <f t="shared" si="7"/>
        <v>0</v>
      </c>
      <c r="Q50" s="92"/>
    </row>
    <row r="51" spans="1:17" x14ac:dyDescent="0.25">
      <c r="A51" s="95">
        <v>45</v>
      </c>
      <c r="B51" s="96">
        <v>24</v>
      </c>
      <c r="C51" s="96">
        <f t="shared" si="8"/>
        <v>4</v>
      </c>
      <c r="D51" s="96">
        <v>0.22</v>
      </c>
      <c r="E51" s="96">
        <v>0.41</v>
      </c>
      <c r="F51" s="97">
        <f t="shared" si="1"/>
        <v>8.4210526315789472E-2</v>
      </c>
      <c r="G51" s="98"/>
      <c r="H51" s="99">
        <f t="shared" si="2"/>
        <v>8.2384323722085178</v>
      </c>
      <c r="I51" s="99">
        <f t="shared" si="3"/>
        <v>0.5854244252608598</v>
      </c>
      <c r="J51" s="99">
        <f t="shared" si="10"/>
        <v>0.22</v>
      </c>
      <c r="K51" s="99">
        <f t="shared" si="9"/>
        <v>0.41</v>
      </c>
      <c r="L51" s="99">
        <f t="shared" si="11"/>
        <v>0.41</v>
      </c>
      <c r="M51" s="99">
        <f t="shared" si="5"/>
        <v>0</v>
      </c>
      <c r="N51" s="101">
        <f t="shared" si="6"/>
        <v>0</v>
      </c>
      <c r="O51" s="110"/>
      <c r="P51" s="92">
        <f t="shared" si="7"/>
        <v>0</v>
      </c>
      <c r="Q51" s="92"/>
    </row>
    <row r="52" spans="1:17" x14ac:dyDescent="0.25">
      <c r="A52" s="95">
        <v>46</v>
      </c>
      <c r="B52" s="96">
        <v>23</v>
      </c>
      <c r="C52" s="96">
        <f t="shared" si="8"/>
        <v>3</v>
      </c>
      <c r="D52" s="96">
        <v>0.16</v>
      </c>
      <c r="E52" s="96">
        <v>0.22</v>
      </c>
      <c r="F52" s="97">
        <f t="shared" si="1"/>
        <v>6.3157894736842107E-2</v>
      </c>
      <c r="G52" s="98"/>
      <c r="H52" s="99">
        <f t="shared" si="2"/>
        <v>11.35284451178671</v>
      </c>
      <c r="I52" s="99">
        <f t="shared" si="3"/>
        <v>0.50153675712603052</v>
      </c>
      <c r="J52" s="99">
        <f t="shared" si="10"/>
        <v>0.16</v>
      </c>
      <c r="K52" s="99">
        <f t="shared" si="9"/>
        <v>0.22</v>
      </c>
      <c r="L52" s="99">
        <f t="shared" si="11"/>
        <v>0.22</v>
      </c>
      <c r="M52" s="99">
        <f t="shared" si="5"/>
        <v>0</v>
      </c>
      <c r="N52" s="101">
        <f t="shared" si="6"/>
        <v>0</v>
      </c>
      <c r="O52" s="110"/>
      <c r="P52" s="92">
        <f t="shared" si="7"/>
        <v>0</v>
      </c>
      <c r="Q52" s="92"/>
    </row>
    <row r="53" spans="1:17" x14ac:dyDescent="0.25">
      <c r="A53" s="95">
        <v>47</v>
      </c>
      <c r="B53" s="96">
        <v>22</v>
      </c>
      <c r="C53" s="96">
        <f t="shared" si="8"/>
        <v>2</v>
      </c>
      <c r="D53" s="96">
        <v>0.1</v>
      </c>
      <c r="E53" s="96">
        <v>0.09</v>
      </c>
      <c r="F53" s="97">
        <f t="shared" si="1"/>
        <v>4.2105263157894736E-2</v>
      </c>
      <c r="G53" s="98"/>
      <c r="H53" s="99">
        <f t="shared" si="2"/>
        <v>18.191919639911369</v>
      </c>
      <c r="I53" s="99">
        <f t="shared" si="3"/>
        <v>0.40168703822578478</v>
      </c>
      <c r="J53" s="99">
        <f t="shared" si="10"/>
        <v>0.1</v>
      </c>
      <c r="K53" s="99">
        <f t="shared" si="9"/>
        <v>0.09</v>
      </c>
      <c r="L53" s="99">
        <f t="shared" si="11"/>
        <v>0.09</v>
      </c>
      <c r="M53" s="99">
        <f t="shared" si="5"/>
        <v>0</v>
      </c>
      <c r="N53" s="101">
        <f t="shared" si="6"/>
        <v>0</v>
      </c>
      <c r="O53" s="110"/>
      <c r="P53" s="92">
        <f t="shared" si="7"/>
        <v>0</v>
      </c>
      <c r="Q53" s="92"/>
    </row>
    <row r="54" spans="1:17" x14ac:dyDescent="0.25">
      <c r="A54" s="95">
        <v>48</v>
      </c>
      <c r="B54" s="96">
        <v>21</v>
      </c>
      <c r="C54" s="96">
        <f t="shared" si="8"/>
        <v>1</v>
      </c>
      <c r="D54" s="96">
        <v>0.04</v>
      </c>
      <c r="E54" s="96">
        <v>0.02</v>
      </c>
      <c r="F54" s="97">
        <f t="shared" si="1"/>
        <v>2.1052631578947368E-2</v>
      </c>
      <c r="G54" s="98"/>
      <c r="H54" s="99">
        <f t="shared" si="2"/>
        <v>45.51664120504158</v>
      </c>
      <c r="I54" s="99">
        <f t="shared" si="3"/>
        <v>0.27300572758968594</v>
      </c>
      <c r="J54" s="99">
        <f t="shared" si="10"/>
        <v>0.04</v>
      </c>
      <c r="K54" s="99">
        <f t="shared" si="9"/>
        <v>0.02</v>
      </c>
      <c r="L54" s="99">
        <f t="shared" si="11"/>
        <v>0.02</v>
      </c>
      <c r="M54" s="99">
        <f t="shared" si="5"/>
        <v>0</v>
      </c>
      <c r="N54" s="101">
        <f t="shared" si="6"/>
        <v>0</v>
      </c>
      <c r="O54" s="110"/>
      <c r="P54" s="92">
        <f t="shared" si="7"/>
        <v>0</v>
      </c>
      <c r="Q54" s="92"/>
    </row>
    <row r="55" spans="1:17" ht="15.75" thickBot="1" x14ac:dyDescent="0.3">
      <c r="A55" s="106">
        <v>49</v>
      </c>
      <c r="B55" s="107">
        <v>20</v>
      </c>
      <c r="C55" s="107">
        <f t="shared" si="8"/>
        <v>0</v>
      </c>
      <c r="D55" s="107">
        <v>0</v>
      </c>
      <c r="E55" s="107">
        <v>0</v>
      </c>
      <c r="F55" s="108">
        <f t="shared" si="1"/>
        <v>0</v>
      </c>
      <c r="G55" s="109"/>
      <c r="H55" s="109"/>
      <c r="I55" s="109"/>
      <c r="J55" s="99">
        <f t="shared" si="10"/>
        <v>0</v>
      </c>
      <c r="K55" s="99">
        <f t="shared" si="9"/>
        <v>0</v>
      </c>
      <c r="L55" s="99">
        <f t="shared" si="11"/>
        <v>0</v>
      </c>
      <c r="M55" s="99">
        <f t="shared" si="5"/>
        <v>0</v>
      </c>
      <c r="N55" s="101">
        <f t="shared" si="6"/>
        <v>0</v>
      </c>
      <c r="O55" s="110"/>
      <c r="P55" s="92">
        <f t="shared" si="7"/>
        <v>0</v>
      </c>
      <c r="Q55" s="92"/>
    </row>
    <row r="58" spans="1:17" x14ac:dyDescent="0.25">
      <c r="D58" s="37" t="s">
        <v>91</v>
      </c>
      <c r="F58" s="56">
        <f>0.362*C6</f>
        <v>17.195</v>
      </c>
      <c r="G58" s="68">
        <f>F58+B55</f>
        <v>37.195</v>
      </c>
    </row>
    <row r="59" spans="1:17" x14ac:dyDescent="0.25">
      <c r="D59" s="37" t="s">
        <v>92</v>
      </c>
      <c r="F59" s="56">
        <f>D37/I37</f>
        <v>2.0964771092652872</v>
      </c>
    </row>
  </sheetData>
  <mergeCells count="11">
    <mergeCell ref="A4:A5"/>
    <mergeCell ref="B4:B5"/>
    <mergeCell ref="F4:F5"/>
    <mergeCell ref="G4:G5"/>
    <mergeCell ref="J4:J5"/>
    <mergeCell ref="I4:I5"/>
    <mergeCell ref="K4:K5"/>
    <mergeCell ref="L4:L5"/>
    <mergeCell ref="M4:M5"/>
    <mergeCell ref="N4:N5"/>
    <mergeCell ref="H4:H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"/>
  <sheetViews>
    <sheetView topLeftCell="F34" zoomScaleNormal="100" workbookViewId="0">
      <selection activeCell="F34" sqref="F34:L56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1" x14ac:dyDescent="0.25">
      <c r="A1" t="s">
        <v>0</v>
      </c>
    </row>
    <row r="3" spans="1:11" ht="14.45" customHeight="1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1" ht="14.1" customHeight="1" x14ac:dyDescent="0.25">
      <c r="A4" s="73"/>
      <c r="B4" s="74"/>
      <c r="C4" s="74"/>
      <c r="D4" s="73"/>
      <c r="E4" s="74"/>
      <c r="F4" s="73"/>
    </row>
    <row r="5" spans="1:11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2" si="0">0.0864*D5*E5</f>
        <v>7614.9590400000016</v>
      </c>
      <c r="I5" s="5"/>
      <c r="J5" s="6"/>
      <c r="K5" s="5"/>
    </row>
    <row r="6" spans="1:11" x14ac:dyDescent="0.25">
      <c r="A6" s="1">
        <v>2</v>
      </c>
      <c r="B6" s="2">
        <v>34129</v>
      </c>
      <c r="C6" s="1"/>
      <c r="D6" s="1">
        <v>27.6</v>
      </c>
      <c r="E6" s="3">
        <v>915</v>
      </c>
      <c r="F6" s="4">
        <f t="shared" si="0"/>
        <v>2181.9456</v>
      </c>
      <c r="I6" s="5"/>
      <c r="J6" s="6"/>
      <c r="K6" s="5"/>
    </row>
    <row r="7" spans="1:11" x14ac:dyDescent="0.25">
      <c r="A7" s="1">
        <v>3</v>
      </c>
      <c r="B7" s="2">
        <v>34285</v>
      </c>
      <c r="C7" s="1">
        <v>18.3</v>
      </c>
      <c r="D7" s="1">
        <v>23.14</v>
      </c>
      <c r="E7" s="3">
        <v>104</v>
      </c>
      <c r="F7" s="4">
        <f t="shared" si="0"/>
        <v>207.92678400000003</v>
      </c>
      <c r="I7" s="5"/>
      <c r="J7" s="6"/>
      <c r="K7" s="5"/>
    </row>
    <row r="8" spans="1:11" x14ac:dyDescent="0.25">
      <c r="A8" s="1">
        <v>4</v>
      </c>
      <c r="B8" s="2">
        <v>34224</v>
      </c>
      <c r="C8" s="1">
        <v>24.3</v>
      </c>
      <c r="D8" s="1">
        <v>17.46</v>
      </c>
      <c r="E8" s="3">
        <v>207</v>
      </c>
      <c r="F8" s="4">
        <f t="shared" si="0"/>
        <v>312.26860800000003</v>
      </c>
      <c r="I8" s="5"/>
      <c r="J8" s="6"/>
      <c r="K8" s="5"/>
    </row>
    <row r="9" spans="1:11" x14ac:dyDescent="0.25">
      <c r="A9" s="1">
        <v>5</v>
      </c>
      <c r="B9" s="2">
        <v>34312</v>
      </c>
      <c r="C9" s="1">
        <v>5</v>
      </c>
      <c r="D9" s="1">
        <v>26.99</v>
      </c>
      <c r="E9" s="3">
        <v>84</v>
      </c>
      <c r="F9" s="4">
        <f t="shared" si="0"/>
        <v>195.88262399999999</v>
      </c>
      <c r="I9" s="5"/>
      <c r="J9" s="6"/>
      <c r="K9" s="5"/>
    </row>
    <row r="10" spans="1:11" x14ac:dyDescent="0.25">
      <c r="A10" s="1">
        <v>6</v>
      </c>
      <c r="B10" s="2">
        <v>34339</v>
      </c>
      <c r="C10" s="1"/>
      <c r="D10" s="1">
        <v>30.09</v>
      </c>
      <c r="E10" s="3">
        <v>76</v>
      </c>
      <c r="F10" s="4">
        <f t="shared" si="0"/>
        <v>197.58297600000003</v>
      </c>
      <c r="I10" s="5"/>
      <c r="J10" s="6"/>
      <c r="K10" s="5"/>
    </row>
    <row r="11" spans="1:11" x14ac:dyDescent="0.25">
      <c r="A11" s="1">
        <v>7</v>
      </c>
      <c r="B11" s="2">
        <v>34493</v>
      </c>
      <c r="C11" s="1">
        <v>12.3</v>
      </c>
      <c r="D11" s="1">
        <v>19.100000000000001</v>
      </c>
      <c r="E11" s="3">
        <v>312</v>
      </c>
      <c r="F11" s="4">
        <f t="shared" si="0"/>
        <v>514.87488000000008</v>
      </c>
      <c r="I11" s="5"/>
      <c r="J11" s="6"/>
      <c r="K11" s="5"/>
    </row>
    <row r="12" spans="1:11" x14ac:dyDescent="0.25">
      <c r="A12" s="1">
        <v>8</v>
      </c>
      <c r="B12" s="2">
        <v>34527</v>
      </c>
      <c r="C12" s="1">
        <v>18.3</v>
      </c>
      <c r="D12" s="1">
        <v>3.7</v>
      </c>
      <c r="E12" s="3">
        <v>168</v>
      </c>
      <c r="F12" s="4">
        <f t="shared" si="0"/>
        <v>53.706240000000001</v>
      </c>
    </row>
    <row r="13" spans="1:11" x14ac:dyDescent="0.25">
      <c r="A13" s="1">
        <v>9</v>
      </c>
      <c r="B13" s="2">
        <v>34548</v>
      </c>
      <c r="C13" s="1"/>
      <c r="D13" s="1">
        <v>3.5</v>
      </c>
      <c r="E13" s="3">
        <v>157</v>
      </c>
      <c r="F13" s="4">
        <f>0.0864*D13*E13</f>
        <v>47.476799999999997</v>
      </c>
    </row>
    <row r="14" spans="1:11" x14ac:dyDescent="0.25">
      <c r="A14" s="1">
        <v>10</v>
      </c>
      <c r="B14" s="2" t="s">
        <v>94</v>
      </c>
      <c r="C14" s="1"/>
      <c r="D14" s="1">
        <v>12.5</v>
      </c>
      <c r="E14" s="59">
        <v>481.48148148148147</v>
      </c>
      <c r="F14" s="4">
        <f t="shared" ref="F14:F20" si="1">0.0864*D14*E14</f>
        <v>520</v>
      </c>
    </row>
    <row r="15" spans="1:11" x14ac:dyDescent="0.25">
      <c r="A15" s="1">
        <v>11</v>
      </c>
      <c r="B15" s="2" t="s">
        <v>94</v>
      </c>
      <c r="C15" s="1"/>
      <c r="D15" s="1">
        <v>13.5</v>
      </c>
      <c r="E15" s="59">
        <v>188.6145404663923</v>
      </c>
      <c r="F15" s="4">
        <f t="shared" si="1"/>
        <v>220</v>
      </c>
    </row>
    <row r="16" spans="1:11" x14ac:dyDescent="0.25">
      <c r="A16" s="1">
        <v>12</v>
      </c>
      <c r="B16" s="2" t="s">
        <v>94</v>
      </c>
      <c r="C16" s="1"/>
      <c r="D16" s="1">
        <v>17</v>
      </c>
      <c r="E16" s="59">
        <v>748.91067538126356</v>
      </c>
      <c r="F16" s="4">
        <f t="shared" si="1"/>
        <v>1100</v>
      </c>
    </row>
    <row r="17" spans="1:6" x14ac:dyDescent="0.25">
      <c r="A17" s="1">
        <v>13</v>
      </c>
      <c r="B17" s="2" t="s">
        <v>94</v>
      </c>
      <c r="C17" s="1"/>
      <c r="D17" s="1">
        <v>17.2</v>
      </c>
      <c r="E17" s="59">
        <v>679.64039621016366</v>
      </c>
      <c r="F17" s="4">
        <f t="shared" si="1"/>
        <v>1010</v>
      </c>
    </row>
    <row r="18" spans="1:6" x14ac:dyDescent="0.25">
      <c r="A18" s="1">
        <v>14</v>
      </c>
      <c r="B18" s="2" t="s">
        <v>94</v>
      </c>
      <c r="C18" s="1"/>
      <c r="D18" s="1">
        <v>20.5</v>
      </c>
      <c r="E18" s="59">
        <v>304.8780487804878</v>
      </c>
      <c r="F18" s="4">
        <f t="shared" si="1"/>
        <v>540</v>
      </c>
    </row>
    <row r="19" spans="1:6" x14ac:dyDescent="0.25">
      <c r="A19" s="1">
        <v>15</v>
      </c>
      <c r="B19" s="2" t="s">
        <v>94</v>
      </c>
      <c r="C19" s="1"/>
      <c r="D19" s="1">
        <v>22</v>
      </c>
      <c r="E19" s="59">
        <v>284.09090909090907</v>
      </c>
      <c r="F19" s="4">
        <f t="shared" si="1"/>
        <v>540</v>
      </c>
    </row>
    <row r="20" spans="1:6" x14ac:dyDescent="0.25">
      <c r="A20" s="1">
        <v>16</v>
      </c>
      <c r="B20" s="2" t="s">
        <v>94</v>
      </c>
      <c r="C20" s="1"/>
      <c r="D20" s="1">
        <v>32</v>
      </c>
      <c r="E20" s="59">
        <v>1302.0833333333333</v>
      </c>
      <c r="F20" s="4">
        <f t="shared" si="1"/>
        <v>3600</v>
      </c>
    </row>
    <row r="21" spans="1:6" x14ac:dyDescent="0.25">
      <c r="A21" s="1">
        <v>17</v>
      </c>
      <c r="B21" s="2">
        <v>30388</v>
      </c>
      <c r="C21" s="1"/>
      <c r="D21" s="1">
        <v>6.88</v>
      </c>
      <c r="E21" s="3">
        <v>47</v>
      </c>
      <c r="F21" s="4">
        <f>0.0864*D21*E21</f>
        <v>27.938304000000002</v>
      </c>
    </row>
    <row r="22" spans="1:6" x14ac:dyDescent="0.25">
      <c r="A22" s="1">
        <v>18</v>
      </c>
      <c r="B22" s="2">
        <v>30388</v>
      </c>
      <c r="C22" s="1"/>
      <c r="D22" s="1">
        <v>7.11</v>
      </c>
      <c r="E22" s="3">
        <v>73</v>
      </c>
      <c r="F22" s="4">
        <f t="shared" ref="F22:F29" si="2">0.0864*D22*E22</f>
        <v>44.844192000000007</v>
      </c>
    </row>
    <row r="23" spans="1:6" x14ac:dyDescent="0.25">
      <c r="A23" s="1">
        <v>19</v>
      </c>
      <c r="B23" s="2">
        <v>30391</v>
      </c>
      <c r="C23" s="1"/>
      <c r="D23" s="1">
        <v>2.81</v>
      </c>
      <c r="E23" s="3">
        <v>43</v>
      </c>
      <c r="F23" s="4">
        <f t="shared" si="2"/>
        <v>10.439712000000002</v>
      </c>
    </row>
    <row r="24" spans="1:6" x14ac:dyDescent="0.25">
      <c r="A24" s="1">
        <v>20</v>
      </c>
      <c r="B24" s="2">
        <v>30391</v>
      </c>
      <c r="C24" s="1"/>
      <c r="D24" s="1">
        <v>2.67</v>
      </c>
      <c r="E24" s="3">
        <v>47</v>
      </c>
      <c r="F24" s="4">
        <f t="shared" si="2"/>
        <v>10.842336</v>
      </c>
    </row>
    <row r="25" spans="1:6" x14ac:dyDescent="0.25">
      <c r="A25" s="1">
        <v>21</v>
      </c>
      <c r="B25" s="2">
        <v>30150</v>
      </c>
      <c r="C25" s="1"/>
      <c r="D25" s="1">
        <v>6.88</v>
      </c>
      <c r="E25" s="3">
        <v>109</v>
      </c>
      <c r="F25" s="4">
        <f t="shared" si="2"/>
        <v>64.793088000000012</v>
      </c>
    </row>
    <row r="26" spans="1:6" x14ac:dyDescent="0.25">
      <c r="A26" s="1">
        <v>22</v>
      </c>
      <c r="B26" s="2">
        <v>30653</v>
      </c>
      <c r="C26" s="1"/>
      <c r="D26" s="1">
        <v>1.82</v>
      </c>
      <c r="E26" s="3">
        <v>28</v>
      </c>
      <c r="F26" s="4">
        <f t="shared" si="2"/>
        <v>4.4029440000000006</v>
      </c>
    </row>
    <row r="27" spans="1:6" x14ac:dyDescent="0.25">
      <c r="A27" s="1">
        <v>23</v>
      </c>
      <c r="B27" s="2">
        <v>30653</v>
      </c>
      <c r="C27" s="1"/>
      <c r="D27" s="1">
        <v>1.61</v>
      </c>
      <c r="E27" s="3">
        <v>41</v>
      </c>
      <c r="F27" s="4">
        <f t="shared" si="2"/>
        <v>5.7032639999999999</v>
      </c>
    </row>
    <row r="28" spans="1:6" x14ac:dyDescent="0.25">
      <c r="A28" s="1">
        <v>24</v>
      </c>
      <c r="B28" s="2">
        <v>30392</v>
      </c>
      <c r="C28" s="1"/>
      <c r="D28" s="1">
        <v>3.19</v>
      </c>
      <c r="E28" s="3">
        <v>50</v>
      </c>
      <c r="F28" s="4">
        <f t="shared" si="2"/>
        <v>13.780800000000001</v>
      </c>
    </row>
    <row r="29" spans="1:6" x14ac:dyDescent="0.25">
      <c r="A29" s="1">
        <v>25</v>
      </c>
      <c r="B29" s="2">
        <v>30392</v>
      </c>
      <c r="C29" s="1"/>
      <c r="D29" s="1">
        <v>3.71</v>
      </c>
      <c r="E29" s="3">
        <v>152</v>
      </c>
      <c r="F29" s="4">
        <f t="shared" si="2"/>
        <v>48.722687999999998</v>
      </c>
    </row>
    <row r="32" spans="1:6" x14ac:dyDescent="0.25">
      <c r="F32" t="s">
        <v>7</v>
      </c>
    </row>
    <row r="33" spans="1:12" x14ac:dyDescent="0.25">
      <c r="F33" t="s">
        <v>8</v>
      </c>
      <c r="J33" s="7" t="s">
        <v>52</v>
      </c>
    </row>
    <row r="34" spans="1:12" ht="16.5" x14ac:dyDescent="0.3">
      <c r="F34" s="75" t="s">
        <v>63</v>
      </c>
      <c r="G34" s="75"/>
      <c r="H34" s="75"/>
      <c r="I34" s="75"/>
      <c r="J34" s="75"/>
      <c r="K34" s="75"/>
      <c r="L34" s="75"/>
    </row>
    <row r="35" spans="1:12" ht="49.5" x14ac:dyDescent="0.25">
      <c r="A35" s="8" t="s">
        <v>9</v>
      </c>
      <c r="B35" s="8" t="s">
        <v>10</v>
      </c>
      <c r="C35" s="8"/>
      <c r="D35" s="8" t="s">
        <v>11</v>
      </c>
      <c r="F35" s="8" t="s">
        <v>12</v>
      </c>
      <c r="G35" s="8" t="s">
        <v>13</v>
      </c>
      <c r="H35" s="8" t="s">
        <v>14</v>
      </c>
      <c r="I35" s="8" t="s">
        <v>10</v>
      </c>
      <c r="J35" s="8" t="s">
        <v>15</v>
      </c>
      <c r="K35" s="8" t="s">
        <v>16</v>
      </c>
      <c r="L35" s="8" t="s">
        <v>17</v>
      </c>
    </row>
    <row r="36" spans="1:12" ht="16.5" x14ac:dyDescent="0.3">
      <c r="A36" s="9">
        <v>1</v>
      </c>
      <c r="B36" s="10">
        <v>491.84642323027663</v>
      </c>
      <c r="C36" s="11"/>
      <c r="D36" s="10">
        <f>(A36/28)*100</f>
        <v>3.5714285714285712</v>
      </c>
      <c r="F36" s="12" t="s">
        <v>18</v>
      </c>
      <c r="G36" s="12">
        <v>0.02</v>
      </c>
      <c r="H36" s="13">
        <v>0.01</v>
      </c>
      <c r="I36" s="14">
        <f>B36</f>
        <v>491.84642323027663</v>
      </c>
      <c r="J36" s="27">
        <f>2.6637*(I36^1.721)</f>
        <v>114320.4460542164</v>
      </c>
      <c r="K36" s="27">
        <f>G36*I36*0.01</f>
        <v>9.8369284646055336E-2</v>
      </c>
      <c r="L36" s="27">
        <f>G36*J36*0.01</f>
        <v>22.864089210843282</v>
      </c>
    </row>
    <row r="37" spans="1:12" ht="16.5" x14ac:dyDescent="0.3">
      <c r="A37" s="9">
        <v>2</v>
      </c>
      <c r="B37" s="10">
        <v>390.28877799430114</v>
      </c>
      <c r="C37" s="11"/>
      <c r="D37" s="10">
        <f t="shared" ref="D37:D63" si="3">(A37/28)*100</f>
        <v>7.1428571428571423</v>
      </c>
      <c r="F37" s="12" t="s">
        <v>19</v>
      </c>
      <c r="G37" s="12">
        <v>0.08</v>
      </c>
      <c r="H37" s="13">
        <v>0.06</v>
      </c>
      <c r="I37" s="14">
        <f>B36</f>
        <v>491.84642323027663</v>
      </c>
      <c r="J37" s="27">
        <f t="shared" ref="J37:J55" si="4">2.6637*(I37^1.721)</f>
        <v>114320.4460542164</v>
      </c>
      <c r="K37" s="27">
        <f t="shared" ref="K37:K55" si="5">G37*I37*0.01</f>
        <v>0.39347713858422134</v>
      </c>
      <c r="L37" s="27">
        <f t="shared" ref="L37:L55" si="6">G37*J37*0.01</f>
        <v>91.456356843373129</v>
      </c>
    </row>
    <row r="38" spans="1:12" ht="16.5" x14ac:dyDescent="0.3">
      <c r="A38" s="9">
        <v>3</v>
      </c>
      <c r="B38" s="10">
        <v>300.22320098018281</v>
      </c>
      <c r="C38" s="11"/>
      <c r="D38" s="10">
        <f t="shared" si="3"/>
        <v>10.714285714285714</v>
      </c>
      <c r="F38" s="12" t="s">
        <v>20</v>
      </c>
      <c r="G38" s="12">
        <v>0.4</v>
      </c>
      <c r="H38" s="13">
        <v>0.3</v>
      </c>
      <c r="I38" s="14">
        <f>B36</f>
        <v>491.84642323027663</v>
      </c>
      <c r="J38" s="27">
        <f t="shared" si="4"/>
        <v>114320.4460542164</v>
      </c>
      <c r="K38" s="27">
        <f t="shared" si="5"/>
        <v>1.9673856929211067</v>
      </c>
      <c r="L38" s="27">
        <f t="shared" si="6"/>
        <v>457.28178421686562</v>
      </c>
    </row>
    <row r="39" spans="1:12" ht="16.5" x14ac:dyDescent="0.3">
      <c r="A39" s="9">
        <v>4</v>
      </c>
      <c r="B39" s="10">
        <v>296.24340717975525</v>
      </c>
      <c r="C39" s="11"/>
      <c r="D39" s="10">
        <f t="shared" si="3"/>
        <v>14.285714285714285</v>
      </c>
      <c r="F39" s="12" t="s">
        <v>21</v>
      </c>
      <c r="G39" s="12">
        <v>0.25</v>
      </c>
      <c r="H39" s="13">
        <v>0.63</v>
      </c>
      <c r="I39" s="14">
        <f>B36</f>
        <v>491.84642323027663</v>
      </c>
      <c r="J39" s="27">
        <f t="shared" si="4"/>
        <v>114320.4460542164</v>
      </c>
      <c r="K39" s="27">
        <f t="shared" si="5"/>
        <v>1.2296160580756916</v>
      </c>
      <c r="L39" s="27">
        <f t="shared" si="6"/>
        <v>285.80111513554101</v>
      </c>
    </row>
    <row r="40" spans="1:12" ht="16.5" x14ac:dyDescent="0.3">
      <c r="A40" s="9">
        <v>5</v>
      </c>
      <c r="B40" s="10">
        <v>198.74584350128461</v>
      </c>
      <c r="C40" s="11"/>
      <c r="D40" s="10">
        <f t="shared" si="3"/>
        <v>17.857142857142858</v>
      </c>
      <c r="F40" s="12" t="s">
        <v>22</v>
      </c>
      <c r="G40" s="12">
        <v>0.75</v>
      </c>
      <c r="H40" s="13">
        <v>1.1299999999999999</v>
      </c>
      <c r="I40" s="14">
        <f>B36</f>
        <v>491.84642323027663</v>
      </c>
      <c r="J40" s="27">
        <f t="shared" si="4"/>
        <v>114320.4460542164</v>
      </c>
      <c r="K40" s="27">
        <f t="shared" si="5"/>
        <v>3.6888481742270747</v>
      </c>
      <c r="L40" s="27">
        <f t="shared" si="6"/>
        <v>857.40334540662298</v>
      </c>
    </row>
    <row r="41" spans="1:12" ht="16.5" x14ac:dyDescent="0.3">
      <c r="A41" s="9">
        <v>6</v>
      </c>
      <c r="B41" s="10">
        <v>196.40584415294842</v>
      </c>
      <c r="C41" s="11"/>
      <c r="D41" s="10">
        <f t="shared" si="3"/>
        <v>21.428571428571427</v>
      </c>
      <c r="F41" s="12" t="s">
        <v>23</v>
      </c>
      <c r="G41" s="12">
        <v>3.5</v>
      </c>
      <c r="H41" s="13">
        <v>3.25</v>
      </c>
      <c r="I41" s="14">
        <f>B36</f>
        <v>491.84642323027663</v>
      </c>
      <c r="J41" s="27">
        <f t="shared" si="4"/>
        <v>114320.4460542164</v>
      </c>
      <c r="K41" s="27">
        <f t="shared" si="5"/>
        <v>17.214624813059682</v>
      </c>
      <c r="L41" s="27">
        <f t="shared" si="6"/>
        <v>4001.2156118975745</v>
      </c>
    </row>
    <row r="42" spans="1:12" ht="16.5" x14ac:dyDescent="0.3">
      <c r="A42" s="9">
        <v>7</v>
      </c>
      <c r="B42" s="10">
        <v>145.01087774683302</v>
      </c>
      <c r="C42" s="11"/>
      <c r="D42" s="10">
        <f t="shared" si="3"/>
        <v>25</v>
      </c>
      <c r="F42" s="12" t="s">
        <v>24</v>
      </c>
      <c r="G42" s="12">
        <v>10</v>
      </c>
      <c r="H42" s="13">
        <v>10</v>
      </c>
      <c r="I42" s="14">
        <f>B38</f>
        <v>300.22320098018281</v>
      </c>
      <c r="J42" s="27">
        <f t="shared" si="4"/>
        <v>48884.014791659312</v>
      </c>
      <c r="K42" s="27">
        <f t="shared" si="5"/>
        <v>30.02232009801828</v>
      </c>
      <c r="L42" s="27">
        <f t="shared" si="6"/>
        <v>4888.4014791659311</v>
      </c>
    </row>
    <row r="43" spans="1:12" ht="16.5" x14ac:dyDescent="0.3">
      <c r="A43" s="9">
        <v>8</v>
      </c>
      <c r="B43" s="10">
        <v>141.82770073384421</v>
      </c>
      <c r="C43" s="11"/>
      <c r="D43" s="10">
        <f t="shared" si="3"/>
        <v>28.571428571428569</v>
      </c>
      <c r="F43" s="12" t="s">
        <v>25</v>
      </c>
      <c r="G43" s="12">
        <v>10</v>
      </c>
      <c r="H43" s="13">
        <v>20</v>
      </c>
      <c r="I43" s="14">
        <f>B41</f>
        <v>196.40584415294842</v>
      </c>
      <c r="J43" s="27">
        <f t="shared" si="4"/>
        <v>23550.712130408669</v>
      </c>
      <c r="K43" s="27">
        <f t="shared" si="5"/>
        <v>19.640584415294843</v>
      </c>
      <c r="L43" s="27">
        <f t="shared" si="6"/>
        <v>2355.071213040867</v>
      </c>
    </row>
    <row r="44" spans="1:12" ht="16.5" x14ac:dyDescent="0.3">
      <c r="A44" s="9">
        <v>9</v>
      </c>
      <c r="B44" s="10">
        <v>140.77144310061516</v>
      </c>
      <c r="C44" s="11"/>
      <c r="D44" s="10">
        <f t="shared" si="3"/>
        <v>32.142857142857146</v>
      </c>
      <c r="F44" s="12" t="s">
        <v>26</v>
      </c>
      <c r="G44" s="12">
        <v>10</v>
      </c>
      <c r="H44" s="13">
        <v>30</v>
      </c>
      <c r="I44" s="14">
        <f>B44</f>
        <v>140.77144310061516</v>
      </c>
      <c r="J44" s="27">
        <f t="shared" si="4"/>
        <v>13276.355507174032</v>
      </c>
      <c r="K44" s="27">
        <f t="shared" si="5"/>
        <v>14.077144310061517</v>
      </c>
      <c r="L44" s="27">
        <f t="shared" si="6"/>
        <v>1327.6355507174032</v>
      </c>
    </row>
    <row r="45" spans="1:12" ht="16.5" x14ac:dyDescent="0.3">
      <c r="A45" s="9">
        <v>10</v>
      </c>
      <c r="B45" s="10">
        <v>135.52648243817004</v>
      </c>
      <c r="C45" s="11"/>
      <c r="D45" s="10">
        <f t="shared" si="3"/>
        <v>35.714285714285715</v>
      </c>
      <c r="F45" s="12" t="s">
        <v>27</v>
      </c>
      <c r="G45" s="12">
        <v>10</v>
      </c>
      <c r="H45" s="13">
        <v>40</v>
      </c>
      <c r="I45" s="14">
        <f>B47</f>
        <v>133.44558559437962</v>
      </c>
      <c r="J45" s="27">
        <f t="shared" si="4"/>
        <v>12109.713244004963</v>
      </c>
      <c r="K45" s="27">
        <f t="shared" si="5"/>
        <v>13.344558559437962</v>
      </c>
      <c r="L45" s="27">
        <f t="shared" si="6"/>
        <v>1210.9713244004963</v>
      </c>
    </row>
    <row r="46" spans="1:12" ht="16.5" x14ac:dyDescent="0.3">
      <c r="A46" s="9">
        <v>11</v>
      </c>
      <c r="B46" s="10">
        <v>135.52648243817004</v>
      </c>
      <c r="C46" s="11"/>
      <c r="D46" s="10">
        <f t="shared" si="3"/>
        <v>39.285714285714285</v>
      </c>
      <c r="F46" s="12" t="s">
        <v>28</v>
      </c>
      <c r="G46" s="12">
        <v>10</v>
      </c>
      <c r="H46" s="13">
        <v>50</v>
      </c>
      <c r="I46" s="14">
        <f>B49</f>
        <v>120.16265893428309</v>
      </c>
      <c r="J46" s="27">
        <f t="shared" si="4"/>
        <v>10110.407761060425</v>
      </c>
      <c r="K46" s="27">
        <f t="shared" si="5"/>
        <v>12.016265893428308</v>
      </c>
      <c r="L46" s="27">
        <f t="shared" si="6"/>
        <v>1011.0407761060426</v>
      </c>
    </row>
    <row r="47" spans="1:12" ht="16.5" x14ac:dyDescent="0.3">
      <c r="A47" s="9">
        <v>12</v>
      </c>
      <c r="B47" s="10">
        <v>133.44558559437962</v>
      </c>
      <c r="C47" s="11"/>
      <c r="D47" s="10">
        <f t="shared" si="3"/>
        <v>42.857142857142854</v>
      </c>
      <c r="F47" s="12" t="s">
        <v>29</v>
      </c>
      <c r="G47" s="12">
        <v>10</v>
      </c>
      <c r="H47" s="13">
        <v>60</v>
      </c>
      <c r="I47" s="14">
        <f>B52</f>
        <v>100.58124746845846</v>
      </c>
      <c r="J47" s="27">
        <f t="shared" si="4"/>
        <v>7444.1839827454696</v>
      </c>
      <c r="K47" s="27">
        <f t="shared" si="5"/>
        <v>10.058124746845847</v>
      </c>
      <c r="L47" s="27">
        <f t="shared" si="6"/>
        <v>744.41839827454692</v>
      </c>
    </row>
    <row r="48" spans="1:12" ht="16.5" x14ac:dyDescent="0.3">
      <c r="A48" s="9">
        <v>13</v>
      </c>
      <c r="B48" s="10">
        <v>120.16265893428309</v>
      </c>
      <c r="C48" s="11"/>
      <c r="D48" s="10">
        <f t="shared" si="3"/>
        <v>46.428571428571431</v>
      </c>
      <c r="F48" s="12" t="s">
        <v>30</v>
      </c>
      <c r="G48" s="12">
        <v>10</v>
      </c>
      <c r="H48" s="13">
        <v>70</v>
      </c>
      <c r="I48" s="14">
        <f>B55</f>
        <v>87.524593011293064</v>
      </c>
      <c r="J48" s="27">
        <f t="shared" si="4"/>
        <v>5859.9136006064218</v>
      </c>
      <c r="K48" s="27">
        <f t="shared" si="5"/>
        <v>8.7524593011293064</v>
      </c>
      <c r="L48" s="27">
        <f t="shared" si="6"/>
        <v>585.99136006064225</v>
      </c>
    </row>
    <row r="49" spans="1:12" ht="16.5" x14ac:dyDescent="0.3">
      <c r="A49" s="9">
        <v>14</v>
      </c>
      <c r="B49" s="10">
        <v>120.16265893428309</v>
      </c>
      <c r="C49" s="11"/>
      <c r="D49" s="10">
        <f t="shared" si="3"/>
        <v>50</v>
      </c>
      <c r="F49" s="12" t="s">
        <v>31</v>
      </c>
      <c r="G49" s="12">
        <v>10</v>
      </c>
      <c r="H49" s="13">
        <v>80</v>
      </c>
      <c r="I49" s="14">
        <f>B58</f>
        <v>76.785162741624447</v>
      </c>
      <c r="J49" s="27">
        <f t="shared" si="4"/>
        <v>4677.8636579539416</v>
      </c>
      <c r="K49" s="27">
        <f t="shared" si="5"/>
        <v>7.6785162741624449</v>
      </c>
      <c r="L49" s="27">
        <f t="shared" si="6"/>
        <v>467.78636579539415</v>
      </c>
    </row>
    <row r="50" spans="1:12" ht="16.5" x14ac:dyDescent="0.3">
      <c r="A50" s="9">
        <v>15</v>
      </c>
      <c r="B50" s="10">
        <v>115.16833722262996</v>
      </c>
      <c r="C50" s="11"/>
      <c r="D50" s="10">
        <f t="shared" si="3"/>
        <v>53.571428571428569</v>
      </c>
      <c r="F50" s="12" t="s">
        <v>32</v>
      </c>
      <c r="G50" s="12">
        <v>10</v>
      </c>
      <c r="H50" s="13">
        <v>90</v>
      </c>
      <c r="I50" s="14">
        <f>B61</f>
        <v>67.326848630840757</v>
      </c>
      <c r="J50" s="27">
        <f t="shared" si="4"/>
        <v>3730.7603499250336</v>
      </c>
      <c r="K50" s="27">
        <f t="shared" si="5"/>
        <v>6.7326848630840752</v>
      </c>
      <c r="L50" s="27">
        <f t="shared" si="6"/>
        <v>373.07603499250337</v>
      </c>
    </row>
    <row r="51" spans="1:12" ht="16.5" x14ac:dyDescent="0.3">
      <c r="A51" s="9">
        <v>16</v>
      </c>
      <c r="B51" s="10">
        <v>103.45021755278559</v>
      </c>
      <c r="C51" s="11"/>
      <c r="D51" s="10">
        <f t="shared" si="3"/>
        <v>57.142857142857139</v>
      </c>
      <c r="F51" s="12" t="s">
        <v>33</v>
      </c>
      <c r="G51" s="12">
        <v>3.5</v>
      </c>
      <c r="H51" s="13">
        <v>96.75</v>
      </c>
      <c r="I51" s="14">
        <f>$B$63</f>
        <v>63.155062401408806</v>
      </c>
      <c r="J51" s="27">
        <f t="shared" si="4"/>
        <v>3341.8562813269054</v>
      </c>
      <c r="K51" s="27">
        <f t="shared" si="5"/>
        <v>2.2104271840493079</v>
      </c>
      <c r="L51" s="27">
        <f t="shared" si="6"/>
        <v>116.96496984644169</v>
      </c>
    </row>
    <row r="52" spans="1:12" ht="16.5" x14ac:dyDescent="0.3">
      <c r="A52" s="9">
        <v>17</v>
      </c>
      <c r="B52" s="10">
        <v>100.58124746845846</v>
      </c>
      <c r="C52" s="11"/>
      <c r="D52" s="10">
        <f t="shared" si="3"/>
        <v>60.714285714285708</v>
      </c>
      <c r="F52" s="12" t="s">
        <v>34</v>
      </c>
      <c r="G52" s="12">
        <v>1</v>
      </c>
      <c r="H52" s="13">
        <v>99</v>
      </c>
      <c r="I52" s="14">
        <f t="shared" ref="I52:I55" si="7">$B$63</f>
        <v>63.155062401408806</v>
      </c>
      <c r="J52" s="27">
        <f t="shared" si="4"/>
        <v>3341.8562813269054</v>
      </c>
      <c r="K52" s="27">
        <f t="shared" si="5"/>
        <v>0.63155062401408812</v>
      </c>
      <c r="L52" s="27">
        <f t="shared" si="6"/>
        <v>33.418562813269055</v>
      </c>
    </row>
    <row r="53" spans="1:12" ht="16.5" x14ac:dyDescent="0.3">
      <c r="A53" s="9">
        <v>18</v>
      </c>
      <c r="B53" s="10">
        <v>92.12397155469273</v>
      </c>
      <c r="C53" s="11"/>
      <c r="D53" s="10">
        <f t="shared" si="3"/>
        <v>64.285714285714292</v>
      </c>
      <c r="F53" s="12" t="s">
        <v>35</v>
      </c>
      <c r="G53" s="12">
        <v>0.4</v>
      </c>
      <c r="H53" s="13">
        <v>99.7</v>
      </c>
      <c r="I53" s="14">
        <f t="shared" si="7"/>
        <v>63.155062401408806</v>
      </c>
      <c r="J53" s="27">
        <f t="shared" si="4"/>
        <v>3341.8562813269054</v>
      </c>
      <c r="K53" s="27">
        <f t="shared" si="5"/>
        <v>0.25262024960563523</v>
      </c>
      <c r="L53" s="27">
        <f t="shared" si="6"/>
        <v>13.367425125307623</v>
      </c>
    </row>
    <row r="54" spans="1:12" ht="16.5" x14ac:dyDescent="0.3">
      <c r="A54" s="9">
        <v>19</v>
      </c>
      <c r="B54" s="10">
        <v>92.12397155469273</v>
      </c>
      <c r="C54" s="11"/>
      <c r="D54" s="10">
        <f t="shared" si="3"/>
        <v>67.857142857142861</v>
      </c>
      <c r="F54" s="12" t="s">
        <v>36</v>
      </c>
      <c r="G54" s="12">
        <v>0.08</v>
      </c>
      <c r="H54" s="13">
        <v>99.94</v>
      </c>
      <c r="I54" s="14">
        <f t="shared" si="7"/>
        <v>63.155062401408806</v>
      </c>
      <c r="J54" s="27">
        <f t="shared" si="4"/>
        <v>3341.8562813269054</v>
      </c>
      <c r="K54" s="27">
        <f t="shared" si="5"/>
        <v>5.0524049921127051E-2</v>
      </c>
      <c r="L54" s="27">
        <f t="shared" si="6"/>
        <v>2.6734850250615243</v>
      </c>
    </row>
    <row r="55" spans="1:12" ht="16.5" x14ac:dyDescent="0.3">
      <c r="A55" s="9">
        <v>20</v>
      </c>
      <c r="B55" s="10">
        <v>87.524593011293064</v>
      </c>
      <c r="C55" s="11"/>
      <c r="D55" s="10">
        <f t="shared" si="3"/>
        <v>71.428571428571431</v>
      </c>
      <c r="F55" s="12" t="s">
        <v>37</v>
      </c>
      <c r="G55" s="12">
        <v>0.02</v>
      </c>
      <c r="H55" s="13">
        <v>99.99</v>
      </c>
      <c r="I55" s="14">
        <f t="shared" si="7"/>
        <v>63.155062401408806</v>
      </c>
      <c r="J55" s="27">
        <f t="shared" si="4"/>
        <v>3341.8562813269054</v>
      </c>
      <c r="K55" s="27">
        <f t="shared" si="5"/>
        <v>1.2631012480281763E-2</v>
      </c>
      <c r="L55" s="27">
        <f t="shared" si="6"/>
        <v>0.66837125626538108</v>
      </c>
    </row>
    <row r="56" spans="1:12" ht="16.5" x14ac:dyDescent="0.3">
      <c r="A56" s="9">
        <v>21</v>
      </c>
      <c r="B56" s="10">
        <v>84.799713994911627</v>
      </c>
      <c r="C56" s="11"/>
      <c r="D56" s="10">
        <f t="shared" si="3"/>
        <v>75</v>
      </c>
      <c r="F56" s="70" t="s">
        <v>38</v>
      </c>
      <c r="G56" s="71"/>
      <c r="H56" s="71"/>
      <c r="I56" s="71"/>
      <c r="J56" s="72"/>
      <c r="K56" s="15">
        <f>SUM(K36:K55)</f>
        <v>150.07273274304683</v>
      </c>
      <c r="L56" s="27">
        <f>SUM(L36:L55)</f>
        <v>18847.507619330987</v>
      </c>
    </row>
    <row r="57" spans="1:12" ht="16.5" x14ac:dyDescent="0.3">
      <c r="A57" s="9">
        <v>22</v>
      </c>
      <c r="B57" s="10">
        <v>82.101290134557928</v>
      </c>
      <c r="C57" s="11"/>
      <c r="D57" s="10">
        <f t="shared" si="3"/>
        <v>78.571428571428569</v>
      </c>
    </row>
    <row r="58" spans="1:12" ht="16.5" x14ac:dyDescent="0.3">
      <c r="A58" s="9">
        <v>23</v>
      </c>
      <c r="B58" s="10">
        <v>76.785162741624447</v>
      </c>
      <c r="C58" s="11"/>
      <c r="D58" s="10">
        <f t="shared" si="3"/>
        <v>82.142857142857139</v>
      </c>
      <c r="H58" t="s">
        <v>95</v>
      </c>
      <c r="J58">
        <f>L56*28</f>
        <v>527730.21334126766</v>
      </c>
    </row>
    <row r="59" spans="1:12" ht="16.5" x14ac:dyDescent="0.3">
      <c r="A59" s="9">
        <v>24</v>
      </c>
      <c r="B59" s="10">
        <v>75.909757381938547</v>
      </c>
      <c r="C59" s="11"/>
      <c r="D59" s="10">
        <f t="shared" si="3"/>
        <v>85.714285714285708</v>
      </c>
    </row>
    <row r="60" spans="1:12" ht="16.5" x14ac:dyDescent="0.3">
      <c r="A60" s="9">
        <v>25</v>
      </c>
      <c r="B60" s="10">
        <v>67.326848630840757</v>
      </c>
      <c r="C60" s="11"/>
      <c r="D60" s="10">
        <f t="shared" si="3"/>
        <v>89.285714285714292</v>
      </c>
      <c r="F60" t="s">
        <v>39</v>
      </c>
    </row>
    <row r="61" spans="1:12" ht="16.5" x14ac:dyDescent="0.3">
      <c r="A61" s="9">
        <v>26</v>
      </c>
      <c r="B61" s="10">
        <v>67.326848630840757</v>
      </c>
      <c r="C61" s="11"/>
      <c r="D61" s="10">
        <f t="shared" si="3"/>
        <v>92.857142857142861</v>
      </c>
      <c r="F61" t="s">
        <v>40</v>
      </c>
      <c r="G61" t="s">
        <v>41</v>
      </c>
      <c r="J61" s="16">
        <v>207500000</v>
      </c>
    </row>
    <row r="62" spans="1:12" ht="16.5" x14ac:dyDescent="0.3">
      <c r="A62" s="9">
        <v>27</v>
      </c>
      <c r="B62" s="10">
        <v>63.155062401408806</v>
      </c>
      <c r="C62" s="11"/>
      <c r="D62" s="10">
        <f t="shared" si="3"/>
        <v>96.428571428571431</v>
      </c>
      <c r="F62" t="s">
        <v>42</v>
      </c>
      <c r="G62" t="s">
        <v>43</v>
      </c>
      <c r="J62" s="16">
        <f>J65*365*24*60*60</f>
        <v>2073640564.2848647</v>
      </c>
    </row>
    <row r="63" spans="1:12" ht="16.5" x14ac:dyDescent="0.3">
      <c r="A63" s="9">
        <v>28</v>
      </c>
      <c r="B63" s="10">
        <v>63.155062401408806</v>
      </c>
      <c r="C63" s="11"/>
      <c r="D63" s="10">
        <f t="shared" si="3"/>
        <v>100</v>
      </c>
      <c r="J63">
        <f>J61/J62</f>
        <v>0.10006555792448071</v>
      </c>
    </row>
    <row r="64" spans="1:12" ht="16.5" x14ac:dyDescent="0.3">
      <c r="A64" s="9"/>
      <c r="B64" s="10"/>
      <c r="C64" s="11"/>
      <c r="D64" s="10"/>
    </row>
    <row r="65" spans="1:13" ht="16.5" x14ac:dyDescent="0.3">
      <c r="A65" s="9"/>
      <c r="B65" s="10"/>
      <c r="C65" s="11"/>
      <c r="D65" s="10"/>
      <c r="J65" s="17">
        <f>AVERAGE(J66:J77)</f>
        <v>65.754710942569275</v>
      </c>
      <c r="M65" s="29"/>
    </row>
    <row r="66" spans="1:13" ht="16.5" x14ac:dyDescent="0.3">
      <c r="A66" s="18"/>
      <c r="B66" s="19"/>
      <c r="C66" s="5"/>
      <c r="D66" s="19"/>
      <c r="J66" s="20">
        <v>81.912112034198387</v>
      </c>
    </row>
    <row r="67" spans="1:13" x14ac:dyDescent="0.25">
      <c r="A67" s="18"/>
      <c r="J67" s="20">
        <v>147.06140970147902</v>
      </c>
    </row>
    <row r="68" spans="1:13" ht="26.25" x14ac:dyDescent="0.25">
      <c r="A68" s="18"/>
      <c r="B68" s="1" t="s">
        <v>44</v>
      </c>
      <c r="C68" s="21">
        <f>K58</f>
        <v>0</v>
      </c>
      <c r="D68" s="21">
        <f>J58</f>
        <v>527730.21334126766</v>
      </c>
      <c r="J68" s="20">
        <v>64.583431599478416</v>
      </c>
    </row>
    <row r="69" spans="1:13" ht="38.25" x14ac:dyDescent="0.25">
      <c r="A69" s="18"/>
      <c r="B69" s="22" t="s">
        <v>45</v>
      </c>
      <c r="C69" s="23">
        <v>0.1</v>
      </c>
      <c r="D69" s="23">
        <v>0.1</v>
      </c>
      <c r="J69" s="20">
        <v>69.114147486845226</v>
      </c>
    </row>
    <row r="70" spans="1:13" ht="16.5" x14ac:dyDescent="0.25">
      <c r="A70" s="18"/>
      <c r="B70" s="22" t="s">
        <v>46</v>
      </c>
      <c r="C70" s="14">
        <f>C68*C69</f>
        <v>0</v>
      </c>
      <c r="D70" s="14">
        <f>D68*D69</f>
        <v>52773.021334126766</v>
      </c>
      <c r="J70" s="20">
        <v>67.935586052460039</v>
      </c>
    </row>
    <row r="71" spans="1:13" ht="16.5" x14ac:dyDescent="0.25">
      <c r="A71" s="18"/>
      <c r="B71" s="1" t="s">
        <v>47</v>
      </c>
      <c r="C71" s="23">
        <v>0.92500000000000004</v>
      </c>
      <c r="D71" s="23">
        <v>0.88</v>
      </c>
      <c r="J71" s="20">
        <v>58.690042783852192</v>
      </c>
    </row>
    <row r="72" spans="1:13" ht="38.25" x14ac:dyDescent="0.25">
      <c r="A72" s="18"/>
      <c r="B72" s="22" t="s">
        <v>48</v>
      </c>
      <c r="C72" s="24">
        <f>C71*C68</f>
        <v>0</v>
      </c>
      <c r="D72" s="24">
        <f>D71*D68</f>
        <v>464402.58774031553</v>
      </c>
      <c r="J72" s="20">
        <v>41.391354907140759</v>
      </c>
    </row>
    <row r="73" spans="1:13" ht="38.25" x14ac:dyDescent="0.25">
      <c r="A73" s="18"/>
      <c r="B73" s="22" t="s">
        <v>49</v>
      </c>
      <c r="C73" s="24">
        <f>C72+C70</f>
        <v>0</v>
      </c>
      <c r="D73" s="24">
        <f>D72+D70</f>
        <v>517175.6090744423</v>
      </c>
      <c r="J73" s="20">
        <v>34.967758738057853</v>
      </c>
    </row>
    <row r="74" spans="1:13" ht="26.25" x14ac:dyDescent="0.25">
      <c r="A74" s="18"/>
      <c r="B74" s="25" t="s">
        <v>50</v>
      </c>
      <c r="C74" s="26">
        <f>(C73/C75)*50</f>
        <v>0</v>
      </c>
      <c r="D74" s="26">
        <f>(D73/D75)*50</f>
        <v>11971657.617463941</v>
      </c>
      <c r="J74" s="20">
        <v>19.050827637795845</v>
      </c>
    </row>
    <row r="75" spans="1:13" ht="16.5" x14ac:dyDescent="0.25">
      <c r="A75" s="18"/>
      <c r="B75" s="1" t="s">
        <v>51</v>
      </c>
      <c r="C75" s="12">
        <v>1.1000000000000001</v>
      </c>
      <c r="D75" s="12">
        <v>2.16</v>
      </c>
      <c r="J75" s="20">
        <v>42.043342948179976</v>
      </c>
    </row>
    <row r="76" spans="1:13" x14ac:dyDescent="0.25">
      <c r="A76" s="18"/>
      <c r="J76" s="20">
        <v>109.92851715976649</v>
      </c>
    </row>
    <row r="77" spans="1:13" x14ac:dyDescent="0.25">
      <c r="A77" s="18"/>
      <c r="J77" s="20">
        <v>52.378000261576993</v>
      </c>
    </row>
    <row r="78" spans="1:13" x14ac:dyDescent="0.25">
      <c r="A78" s="18"/>
    </row>
    <row r="79" spans="1:13" x14ac:dyDescent="0.25">
      <c r="A79" s="18"/>
    </row>
    <row r="80" spans="1:13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  <row r="86" spans="1:1" x14ac:dyDescent="0.25">
      <c r="A86" s="18"/>
    </row>
  </sheetData>
  <sortState ref="B16:B43">
    <sortCondition descending="1" ref="B16"/>
  </sortState>
  <mergeCells count="8">
    <mergeCell ref="F56:J56"/>
    <mergeCell ref="A3:A4"/>
    <mergeCell ref="B3:B4"/>
    <mergeCell ref="C3:C4"/>
    <mergeCell ref="D3:D4"/>
    <mergeCell ref="E3:E4"/>
    <mergeCell ref="F3:F4"/>
    <mergeCell ref="F34:L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topLeftCell="A46" zoomScaleNormal="100" workbookViewId="0">
      <selection activeCell="J57" sqref="J57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1" x14ac:dyDescent="0.25">
      <c r="A1" t="s">
        <v>0</v>
      </c>
    </row>
    <row r="3" spans="1:11" ht="14.45" customHeight="1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1" ht="14.1" customHeight="1" x14ac:dyDescent="0.25">
      <c r="A4" s="73"/>
      <c r="B4" s="74"/>
      <c r="C4" s="74"/>
      <c r="D4" s="73"/>
      <c r="E4" s="74"/>
      <c r="F4" s="73"/>
    </row>
    <row r="5" spans="1:11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2" si="0">0.0864*D5*E5</f>
        <v>7614.9590400000016</v>
      </c>
      <c r="I5" s="5"/>
      <c r="J5" s="6"/>
      <c r="K5" s="5"/>
    </row>
    <row r="6" spans="1:11" x14ac:dyDescent="0.25">
      <c r="A6" s="1">
        <v>2</v>
      </c>
      <c r="B6" s="2">
        <v>34129</v>
      </c>
      <c r="C6" s="1"/>
      <c r="D6" s="1">
        <v>27.6</v>
      </c>
      <c r="E6" s="3">
        <v>915</v>
      </c>
      <c r="F6" s="4">
        <f t="shared" si="0"/>
        <v>2181.9456</v>
      </c>
      <c r="I6" s="5"/>
      <c r="J6" s="6"/>
      <c r="K6" s="5"/>
    </row>
    <row r="7" spans="1:11" x14ac:dyDescent="0.25">
      <c r="A7" s="1">
        <v>3</v>
      </c>
      <c r="B7" s="2">
        <v>34285</v>
      </c>
      <c r="C7" s="1">
        <v>18.3</v>
      </c>
      <c r="D7" s="1">
        <v>23.14</v>
      </c>
      <c r="E7" s="3">
        <v>104</v>
      </c>
      <c r="F7" s="4">
        <f t="shared" si="0"/>
        <v>207.92678400000003</v>
      </c>
      <c r="I7" s="5"/>
      <c r="J7" s="6"/>
      <c r="K7" s="5"/>
    </row>
    <row r="8" spans="1:11" x14ac:dyDescent="0.25">
      <c r="A8" s="1">
        <v>4</v>
      </c>
      <c r="B8" s="2">
        <v>34224</v>
      </c>
      <c r="C8" s="1">
        <v>24.3</v>
      </c>
      <c r="D8" s="1">
        <v>17.46</v>
      </c>
      <c r="E8" s="3">
        <v>207</v>
      </c>
      <c r="F8" s="4">
        <f t="shared" si="0"/>
        <v>312.26860800000003</v>
      </c>
      <c r="I8" s="5"/>
      <c r="J8" s="6"/>
      <c r="K8" s="5"/>
    </row>
    <row r="9" spans="1:11" x14ac:dyDescent="0.25">
      <c r="A9" s="1">
        <v>5</v>
      </c>
      <c r="B9" s="2">
        <v>34312</v>
      </c>
      <c r="C9" s="1">
        <v>5</v>
      </c>
      <c r="D9" s="1">
        <v>26.99</v>
      </c>
      <c r="E9" s="3">
        <v>84</v>
      </c>
      <c r="F9" s="4">
        <f t="shared" si="0"/>
        <v>195.88262399999999</v>
      </c>
      <c r="I9" s="5"/>
      <c r="J9" s="6"/>
      <c r="K9" s="5"/>
    </row>
    <row r="10" spans="1:11" x14ac:dyDescent="0.25">
      <c r="A10" s="1">
        <v>6</v>
      </c>
      <c r="B10" s="2">
        <v>34339</v>
      </c>
      <c r="C10" s="1"/>
      <c r="D10" s="1">
        <v>30.09</v>
      </c>
      <c r="E10" s="3">
        <v>76</v>
      </c>
      <c r="F10" s="4">
        <f t="shared" si="0"/>
        <v>197.58297600000003</v>
      </c>
      <c r="I10" s="5"/>
      <c r="J10" s="6"/>
      <c r="K10" s="5"/>
    </row>
    <row r="11" spans="1:11" x14ac:dyDescent="0.25">
      <c r="A11" s="1">
        <v>7</v>
      </c>
      <c r="B11" s="2">
        <v>34493</v>
      </c>
      <c r="C11" s="1">
        <v>12.3</v>
      </c>
      <c r="D11" s="1">
        <v>19.100000000000001</v>
      </c>
      <c r="E11" s="3">
        <v>312</v>
      </c>
      <c r="F11" s="4">
        <f t="shared" si="0"/>
        <v>514.87488000000008</v>
      </c>
      <c r="I11" s="5"/>
      <c r="J11" s="6"/>
      <c r="K11" s="5"/>
    </row>
    <row r="12" spans="1:11" x14ac:dyDescent="0.25">
      <c r="A12" s="1">
        <v>8</v>
      </c>
      <c r="B12" s="2">
        <v>34527</v>
      </c>
      <c r="C12" s="1">
        <v>18.3</v>
      </c>
      <c r="D12" s="1">
        <v>3.7</v>
      </c>
      <c r="E12" s="3">
        <v>168</v>
      </c>
      <c r="F12" s="4">
        <f t="shared" si="0"/>
        <v>53.706240000000001</v>
      </c>
    </row>
    <row r="13" spans="1:11" x14ac:dyDescent="0.25">
      <c r="A13" s="1">
        <v>9</v>
      </c>
      <c r="B13" s="2">
        <v>34548</v>
      </c>
      <c r="C13" s="1"/>
      <c r="D13" s="1">
        <v>3.5</v>
      </c>
      <c r="E13" s="3">
        <v>157</v>
      </c>
      <c r="F13" s="4">
        <f>0.0864*D13*E13</f>
        <v>47.476799999999997</v>
      </c>
    </row>
    <row r="14" spans="1:11" x14ac:dyDescent="0.25">
      <c r="A14" s="1">
        <v>10</v>
      </c>
      <c r="B14" s="2" t="s">
        <v>94</v>
      </c>
      <c r="C14" s="1"/>
      <c r="D14" s="1">
        <v>12.5</v>
      </c>
      <c r="E14" s="59">
        <v>481.48148148148147</v>
      </c>
      <c r="F14" s="4">
        <f t="shared" ref="F14:F20" si="1">0.0864*D14*E14</f>
        <v>520</v>
      </c>
    </row>
    <row r="15" spans="1:11" x14ac:dyDescent="0.25">
      <c r="A15" s="1">
        <v>11</v>
      </c>
      <c r="B15" s="2" t="s">
        <v>94</v>
      </c>
      <c r="C15" s="1"/>
      <c r="D15" s="1">
        <v>13.5</v>
      </c>
      <c r="E15" s="59">
        <v>188.6145404663923</v>
      </c>
      <c r="F15" s="4">
        <f t="shared" si="1"/>
        <v>220</v>
      </c>
    </row>
    <row r="16" spans="1:11" x14ac:dyDescent="0.25">
      <c r="A16" s="1">
        <v>12</v>
      </c>
      <c r="B16" s="2" t="s">
        <v>94</v>
      </c>
      <c r="C16" s="1"/>
      <c r="D16" s="1">
        <v>17</v>
      </c>
      <c r="E16" s="59">
        <v>748.91067538126356</v>
      </c>
      <c r="F16" s="4">
        <f t="shared" si="1"/>
        <v>1100</v>
      </c>
    </row>
    <row r="17" spans="1:6" x14ac:dyDescent="0.25">
      <c r="A17" s="1">
        <v>13</v>
      </c>
      <c r="B17" s="2" t="s">
        <v>94</v>
      </c>
      <c r="C17" s="1"/>
      <c r="D17" s="1">
        <v>17.2</v>
      </c>
      <c r="E17" s="59">
        <v>679.64039621016366</v>
      </c>
      <c r="F17" s="4">
        <f t="shared" si="1"/>
        <v>1010</v>
      </c>
    </row>
    <row r="18" spans="1:6" x14ac:dyDescent="0.25">
      <c r="A18" s="1">
        <v>14</v>
      </c>
      <c r="B18" s="2" t="s">
        <v>94</v>
      </c>
      <c r="C18" s="1"/>
      <c r="D18" s="1">
        <v>20.5</v>
      </c>
      <c r="E18" s="59">
        <v>304.8780487804878</v>
      </c>
      <c r="F18" s="4">
        <f t="shared" si="1"/>
        <v>540</v>
      </c>
    </row>
    <row r="19" spans="1:6" x14ac:dyDescent="0.25">
      <c r="A19" s="1">
        <v>15</v>
      </c>
      <c r="B19" s="2" t="s">
        <v>94</v>
      </c>
      <c r="C19" s="1"/>
      <c r="D19" s="1">
        <v>22</v>
      </c>
      <c r="E19" s="59">
        <v>284.09090909090907</v>
      </c>
      <c r="F19" s="4">
        <f t="shared" si="1"/>
        <v>540</v>
      </c>
    </row>
    <row r="20" spans="1:6" x14ac:dyDescent="0.25">
      <c r="A20" s="1">
        <v>16</v>
      </c>
      <c r="B20" s="2" t="s">
        <v>94</v>
      </c>
      <c r="C20" s="1"/>
      <c r="D20" s="1">
        <v>32</v>
      </c>
      <c r="E20" s="59">
        <v>1302.0833333333333</v>
      </c>
      <c r="F20" s="4">
        <f t="shared" si="1"/>
        <v>3600</v>
      </c>
    </row>
    <row r="21" spans="1:6" x14ac:dyDescent="0.25">
      <c r="A21" s="1">
        <v>17</v>
      </c>
      <c r="B21" s="2">
        <v>30388</v>
      </c>
      <c r="C21" s="1"/>
      <c r="D21" s="1">
        <v>6.88</v>
      </c>
      <c r="E21" s="3">
        <v>47</v>
      </c>
      <c r="F21" s="4">
        <f>0.0864*D21*E21</f>
        <v>27.938304000000002</v>
      </c>
    </row>
    <row r="22" spans="1:6" x14ac:dyDescent="0.25">
      <c r="A22" s="1">
        <v>18</v>
      </c>
      <c r="B22" s="2">
        <v>30388</v>
      </c>
      <c r="C22" s="1"/>
      <c r="D22" s="1">
        <v>7.11</v>
      </c>
      <c r="E22" s="3">
        <v>73</v>
      </c>
      <c r="F22" s="4">
        <f t="shared" ref="F22:F29" si="2">0.0864*D22*E22</f>
        <v>44.844192000000007</v>
      </c>
    </row>
    <row r="23" spans="1:6" x14ac:dyDescent="0.25">
      <c r="A23" s="1">
        <v>19</v>
      </c>
      <c r="B23" s="2">
        <v>30391</v>
      </c>
      <c r="C23" s="1"/>
      <c r="D23" s="1">
        <v>2.81</v>
      </c>
      <c r="E23" s="3">
        <v>43</v>
      </c>
      <c r="F23" s="4">
        <f t="shared" si="2"/>
        <v>10.439712000000002</v>
      </c>
    </row>
    <row r="24" spans="1:6" x14ac:dyDescent="0.25">
      <c r="A24" s="1">
        <v>20</v>
      </c>
      <c r="B24" s="2">
        <v>30391</v>
      </c>
      <c r="C24" s="1"/>
      <c r="D24" s="1">
        <v>2.67</v>
      </c>
      <c r="E24" s="3">
        <v>47</v>
      </c>
      <c r="F24" s="4">
        <f t="shared" si="2"/>
        <v>10.842336</v>
      </c>
    </row>
    <row r="25" spans="1:6" x14ac:dyDescent="0.25">
      <c r="A25" s="1">
        <v>21</v>
      </c>
      <c r="B25" s="2">
        <v>30150</v>
      </c>
      <c r="C25" s="1"/>
      <c r="D25" s="1">
        <v>6.88</v>
      </c>
      <c r="E25" s="3">
        <v>109</v>
      </c>
      <c r="F25" s="4">
        <f t="shared" si="2"/>
        <v>64.793088000000012</v>
      </c>
    </row>
    <row r="26" spans="1:6" x14ac:dyDescent="0.25">
      <c r="A26" s="1">
        <v>22</v>
      </c>
      <c r="B26" s="2">
        <v>30653</v>
      </c>
      <c r="C26" s="1"/>
      <c r="D26" s="1">
        <v>1.82</v>
      </c>
      <c r="E26" s="3">
        <v>28</v>
      </c>
      <c r="F26" s="4">
        <f t="shared" si="2"/>
        <v>4.4029440000000006</v>
      </c>
    </row>
    <row r="27" spans="1:6" x14ac:dyDescent="0.25">
      <c r="A27" s="1">
        <v>23</v>
      </c>
      <c r="B27" s="2">
        <v>30653</v>
      </c>
      <c r="C27" s="1"/>
      <c r="D27" s="1">
        <v>1.61</v>
      </c>
      <c r="E27" s="3">
        <v>41</v>
      </c>
      <c r="F27" s="4">
        <f t="shared" si="2"/>
        <v>5.7032639999999999</v>
      </c>
    </row>
    <row r="28" spans="1:6" x14ac:dyDescent="0.25">
      <c r="A28" s="1">
        <v>24</v>
      </c>
      <c r="B28" s="2">
        <v>30392</v>
      </c>
      <c r="C28" s="1"/>
      <c r="D28" s="1">
        <v>3.19</v>
      </c>
      <c r="E28" s="3">
        <v>50</v>
      </c>
      <c r="F28" s="4">
        <f t="shared" si="2"/>
        <v>13.780800000000001</v>
      </c>
    </row>
    <row r="29" spans="1:6" x14ac:dyDescent="0.25">
      <c r="A29" s="1">
        <v>25</v>
      </c>
      <c r="B29" s="2">
        <v>30392</v>
      </c>
      <c r="C29" s="1"/>
      <c r="D29" s="1">
        <v>3.71</v>
      </c>
      <c r="E29" s="3">
        <v>152</v>
      </c>
      <c r="F29" s="4">
        <f t="shared" si="2"/>
        <v>48.722687999999998</v>
      </c>
    </row>
    <row r="32" spans="1:6" x14ac:dyDescent="0.25">
      <c r="F32" t="s">
        <v>7</v>
      </c>
    </row>
    <row r="33" spans="1:12" x14ac:dyDescent="0.25">
      <c r="F33" t="s">
        <v>8</v>
      </c>
      <c r="J33" s="7" t="s">
        <v>52</v>
      </c>
    </row>
    <row r="34" spans="1:12" ht="49.5" x14ac:dyDescent="0.25">
      <c r="A34" s="8" t="s">
        <v>9</v>
      </c>
      <c r="B34" s="8" t="s">
        <v>10</v>
      </c>
      <c r="C34" s="8"/>
      <c r="D34" s="8" t="s">
        <v>11</v>
      </c>
      <c r="F34" s="8" t="s">
        <v>12</v>
      </c>
      <c r="G34" s="8" t="s">
        <v>13</v>
      </c>
      <c r="H34" s="8" t="s">
        <v>14</v>
      </c>
      <c r="I34" s="8" t="s">
        <v>10</v>
      </c>
      <c r="J34" s="8" t="s">
        <v>15</v>
      </c>
      <c r="K34" s="8" t="s">
        <v>16</v>
      </c>
      <c r="L34" s="8" t="s">
        <v>17</v>
      </c>
    </row>
    <row r="35" spans="1:12" ht="16.5" x14ac:dyDescent="0.3">
      <c r="A35" s="9">
        <v>1</v>
      </c>
      <c r="B35" s="10">
        <v>128.28658061513812</v>
      </c>
      <c r="C35" s="11"/>
      <c r="D35" s="10">
        <f>(A35/30)*100</f>
        <v>3.3333333333333335</v>
      </c>
      <c r="F35" s="12" t="s">
        <v>18</v>
      </c>
      <c r="G35" s="12">
        <v>0.02</v>
      </c>
      <c r="H35" s="13">
        <v>0.01</v>
      </c>
      <c r="I35" s="14">
        <f>B35</f>
        <v>128.28658061513812</v>
      </c>
      <c r="J35" s="27">
        <f>2.6637*(I35^1.721)</f>
        <v>11315.277433270652</v>
      </c>
      <c r="K35" s="27">
        <f>G35*I35*0.01</f>
        <v>2.5657316123027622E-2</v>
      </c>
      <c r="L35" s="27">
        <f>G35*J35*0.01</f>
        <v>2.2630554866541308</v>
      </c>
    </row>
    <row r="36" spans="1:12" ht="16.5" x14ac:dyDescent="0.3">
      <c r="A36" s="9">
        <v>2</v>
      </c>
      <c r="B36" s="10">
        <v>99.63041097835044</v>
      </c>
      <c r="C36" s="11"/>
      <c r="D36" s="10">
        <f t="shared" ref="D36:D64" si="3">(A36/30)*100</f>
        <v>6.666666666666667</v>
      </c>
      <c r="F36" s="12" t="s">
        <v>19</v>
      </c>
      <c r="G36" s="12">
        <v>0.08</v>
      </c>
      <c r="H36" s="13">
        <v>0.06</v>
      </c>
      <c r="I36" s="14">
        <f>B35</f>
        <v>128.28658061513812</v>
      </c>
      <c r="J36" s="27">
        <f t="shared" ref="J36:J54" si="4">2.6637*(I36^1.721)</f>
        <v>11315.277433270652</v>
      </c>
      <c r="K36" s="27">
        <f t="shared" ref="K36:K54" si="5">G36*I36*0.01</f>
        <v>0.10262926449211049</v>
      </c>
      <c r="L36" s="27">
        <f t="shared" ref="L36:L54" si="6">G36*J36*0.01</f>
        <v>9.0522219466165232</v>
      </c>
    </row>
    <row r="37" spans="1:12" ht="16.5" x14ac:dyDescent="0.3">
      <c r="A37" s="9">
        <v>3</v>
      </c>
      <c r="B37" s="10">
        <v>82.101290134557928</v>
      </c>
      <c r="C37" s="11"/>
      <c r="D37" s="10">
        <f t="shared" si="3"/>
        <v>10</v>
      </c>
      <c r="F37" s="12" t="s">
        <v>20</v>
      </c>
      <c r="G37" s="12">
        <v>0.4</v>
      </c>
      <c r="H37" s="13">
        <v>0.3</v>
      </c>
      <c r="I37" s="14">
        <f>B35</f>
        <v>128.28658061513812</v>
      </c>
      <c r="J37" s="27">
        <f t="shared" si="4"/>
        <v>11315.277433270652</v>
      </c>
      <c r="K37" s="27">
        <f t="shared" si="5"/>
        <v>0.51314632246055258</v>
      </c>
      <c r="L37" s="27">
        <f t="shared" si="6"/>
        <v>45.261109733082613</v>
      </c>
    </row>
    <row r="38" spans="1:12" ht="16.5" x14ac:dyDescent="0.3">
      <c r="A38" s="9">
        <v>4</v>
      </c>
      <c r="B38" s="10">
        <v>81.207752114751656</v>
      </c>
      <c r="C38" s="11"/>
      <c r="D38" s="10">
        <f t="shared" si="3"/>
        <v>13.333333333333334</v>
      </c>
      <c r="F38" s="12" t="s">
        <v>21</v>
      </c>
      <c r="G38" s="12">
        <v>0.25</v>
      </c>
      <c r="H38" s="13">
        <v>0.63</v>
      </c>
      <c r="I38" s="14">
        <f>B35</f>
        <v>128.28658061513812</v>
      </c>
      <c r="J38" s="27">
        <f t="shared" si="4"/>
        <v>11315.277433270652</v>
      </c>
      <c r="K38" s="27">
        <f t="shared" si="5"/>
        <v>0.32071645153784528</v>
      </c>
      <c r="L38" s="27">
        <f t="shared" si="6"/>
        <v>28.288193583176632</v>
      </c>
    </row>
    <row r="39" spans="1:12" ht="16.5" x14ac:dyDescent="0.3">
      <c r="A39" s="9">
        <v>5</v>
      </c>
      <c r="B39" s="10">
        <v>80.317203481375799</v>
      </c>
      <c r="C39" s="11"/>
      <c r="D39" s="10">
        <f t="shared" si="3"/>
        <v>16.666666666666664</v>
      </c>
      <c r="F39" s="12" t="s">
        <v>22</v>
      </c>
      <c r="G39" s="12">
        <v>0.75</v>
      </c>
      <c r="H39" s="13">
        <v>1.1299999999999999</v>
      </c>
      <c r="I39" s="14">
        <f>B35</f>
        <v>128.28658061513812</v>
      </c>
      <c r="J39" s="27">
        <f t="shared" si="4"/>
        <v>11315.277433270652</v>
      </c>
      <c r="K39" s="27">
        <f t="shared" si="5"/>
        <v>0.9621493546135359</v>
      </c>
      <c r="L39" s="27">
        <f t="shared" si="6"/>
        <v>84.864580749529893</v>
      </c>
    </row>
    <row r="40" spans="1:12" ht="16.5" x14ac:dyDescent="0.3">
      <c r="A40" s="9">
        <v>6</v>
      </c>
      <c r="B40" s="10">
        <v>75.037421079008894</v>
      </c>
      <c r="C40" s="11"/>
      <c r="D40" s="10">
        <f t="shared" si="3"/>
        <v>20</v>
      </c>
      <c r="F40" s="12" t="s">
        <v>23</v>
      </c>
      <c r="G40" s="12">
        <v>3.5</v>
      </c>
      <c r="H40" s="13">
        <v>3.25</v>
      </c>
      <c r="I40" s="14">
        <f>B35</f>
        <v>128.28658061513812</v>
      </c>
      <c r="J40" s="27">
        <f t="shared" si="4"/>
        <v>11315.277433270652</v>
      </c>
      <c r="K40" s="27">
        <f t="shared" si="5"/>
        <v>4.4900303215298347</v>
      </c>
      <c r="L40" s="27">
        <f t="shared" si="6"/>
        <v>396.03471016447287</v>
      </c>
    </row>
    <row r="41" spans="1:12" ht="16.5" x14ac:dyDescent="0.3">
      <c r="A41" s="9">
        <v>7</v>
      </c>
      <c r="B41" s="10">
        <v>74.168167693591343</v>
      </c>
      <c r="C41" s="11"/>
      <c r="D41" s="10">
        <f t="shared" si="3"/>
        <v>23.333333333333332</v>
      </c>
      <c r="F41" s="12" t="s">
        <v>24</v>
      </c>
      <c r="G41" s="12">
        <v>10</v>
      </c>
      <c r="H41" s="13">
        <v>10</v>
      </c>
      <c r="I41" s="14">
        <f>B37</f>
        <v>82.101290134557928</v>
      </c>
      <c r="J41" s="27">
        <f t="shared" si="4"/>
        <v>5249.06111286753</v>
      </c>
      <c r="K41" s="27">
        <f t="shared" si="5"/>
        <v>8.2101290134557932</v>
      </c>
      <c r="L41" s="27">
        <f t="shared" si="6"/>
        <v>524.906111286753</v>
      </c>
    </row>
    <row r="42" spans="1:12" ht="16.5" x14ac:dyDescent="0.3">
      <c r="A42" s="9">
        <v>8</v>
      </c>
      <c r="B42" s="10">
        <v>72.43896599999708</v>
      </c>
      <c r="C42" s="11"/>
      <c r="D42" s="10">
        <f t="shared" si="3"/>
        <v>26.666666666666668</v>
      </c>
      <c r="F42" s="12" t="s">
        <v>25</v>
      </c>
      <c r="G42" s="12">
        <v>10</v>
      </c>
      <c r="H42" s="13">
        <v>20</v>
      </c>
      <c r="I42" s="14">
        <f>B40</f>
        <v>75.037421079008894</v>
      </c>
      <c r="J42" s="27">
        <f t="shared" si="4"/>
        <v>4496.1270606608159</v>
      </c>
      <c r="K42" s="27">
        <f t="shared" si="5"/>
        <v>7.503742107900889</v>
      </c>
      <c r="L42" s="27">
        <f t="shared" si="6"/>
        <v>449.61270606608161</v>
      </c>
    </row>
    <row r="43" spans="1:12" ht="16.5" x14ac:dyDescent="0.3">
      <c r="A43" s="9">
        <v>9</v>
      </c>
      <c r="B43" s="10">
        <v>70.722266766203916</v>
      </c>
      <c r="C43" s="11"/>
      <c r="D43" s="10">
        <f t="shared" si="3"/>
        <v>30</v>
      </c>
      <c r="F43" s="12" t="s">
        <v>26</v>
      </c>
      <c r="G43" s="12">
        <v>10</v>
      </c>
      <c r="H43" s="13">
        <v>30</v>
      </c>
      <c r="I43" s="14">
        <f>B43</f>
        <v>70.722266766203916</v>
      </c>
      <c r="J43" s="27">
        <f t="shared" si="4"/>
        <v>4060.4249047570397</v>
      </c>
      <c r="K43" s="27">
        <f t="shared" si="5"/>
        <v>7.0722266766203914</v>
      </c>
      <c r="L43" s="27">
        <f t="shared" si="6"/>
        <v>406.04249047570397</v>
      </c>
    </row>
    <row r="44" spans="1:12" ht="16.5" x14ac:dyDescent="0.3">
      <c r="A44" s="9">
        <v>10</v>
      </c>
      <c r="B44" s="10">
        <v>69.868642156783665</v>
      </c>
      <c r="C44" s="11"/>
      <c r="D44" s="10">
        <f t="shared" si="3"/>
        <v>33.333333333333329</v>
      </c>
      <c r="F44" s="12" t="s">
        <v>27</v>
      </c>
      <c r="G44" s="12">
        <v>10</v>
      </c>
      <c r="H44" s="13">
        <v>40</v>
      </c>
      <c r="I44" s="14">
        <f>B46</f>
        <v>64.814000667957473</v>
      </c>
      <c r="J44" s="27">
        <f t="shared" si="4"/>
        <v>3494.3577514115132</v>
      </c>
      <c r="K44" s="27">
        <f t="shared" si="5"/>
        <v>6.4814000667957474</v>
      </c>
      <c r="L44" s="27">
        <f t="shared" si="6"/>
        <v>349.43577514115134</v>
      </c>
    </row>
    <row r="45" spans="1:12" ht="16.5" x14ac:dyDescent="0.3">
      <c r="A45" s="9">
        <v>11</v>
      </c>
      <c r="B45" s="10">
        <v>66.485995477302723</v>
      </c>
      <c r="C45" s="11"/>
      <c r="D45" s="10">
        <f t="shared" si="3"/>
        <v>36.666666666666664</v>
      </c>
      <c r="F45" s="12" t="s">
        <v>28</v>
      </c>
      <c r="G45" s="12">
        <v>10</v>
      </c>
      <c r="H45" s="13">
        <v>50</v>
      </c>
      <c r="I45" s="14">
        <f>B49</f>
        <v>61.509313338745784</v>
      </c>
      <c r="J45" s="27">
        <f t="shared" si="4"/>
        <v>3193.3944274821251</v>
      </c>
      <c r="K45" s="27">
        <f t="shared" si="5"/>
        <v>6.1509313338745777</v>
      </c>
      <c r="L45" s="27">
        <f t="shared" si="6"/>
        <v>319.33944274821255</v>
      </c>
    </row>
    <row r="46" spans="1:12" ht="16.5" x14ac:dyDescent="0.3">
      <c r="A46" s="9">
        <v>12</v>
      </c>
      <c r="B46" s="10">
        <v>64.814000667957473</v>
      </c>
      <c r="C46" s="11"/>
      <c r="D46" s="10">
        <f t="shared" si="3"/>
        <v>40</v>
      </c>
      <c r="F46" s="12" t="s">
        <v>29</v>
      </c>
      <c r="G46" s="12">
        <v>10</v>
      </c>
      <c r="H46" s="13">
        <v>60</v>
      </c>
      <c r="I46" s="14">
        <f>B52</f>
        <v>58.257932753454639</v>
      </c>
      <c r="J46" s="27">
        <f t="shared" si="4"/>
        <v>2908.4485526575586</v>
      </c>
      <c r="K46" s="27">
        <f t="shared" si="5"/>
        <v>5.8257932753454638</v>
      </c>
      <c r="L46" s="27">
        <f t="shared" si="6"/>
        <v>290.84485526575588</v>
      </c>
    </row>
    <row r="47" spans="1:12" ht="16.5" x14ac:dyDescent="0.3">
      <c r="A47" s="9">
        <v>13</v>
      </c>
      <c r="B47" s="10">
        <v>64.814000667957473</v>
      </c>
      <c r="C47" s="11"/>
      <c r="D47" s="10">
        <f t="shared" si="3"/>
        <v>43.333333333333336</v>
      </c>
      <c r="F47" s="12" t="s">
        <v>30</v>
      </c>
      <c r="G47" s="12">
        <v>10</v>
      </c>
      <c r="H47" s="13">
        <v>70</v>
      </c>
      <c r="I47" s="14">
        <f>B55</f>
        <v>55.855063709897983</v>
      </c>
      <c r="J47" s="27">
        <f t="shared" si="4"/>
        <v>2705.079055844169</v>
      </c>
      <c r="K47" s="27">
        <f t="shared" si="5"/>
        <v>5.5855063709897976</v>
      </c>
      <c r="L47" s="27">
        <f t="shared" si="6"/>
        <v>270.5079055844169</v>
      </c>
    </row>
    <row r="48" spans="1:12" ht="16.5" x14ac:dyDescent="0.3">
      <c r="A48" s="9">
        <v>14</v>
      </c>
      <c r="B48" s="10">
        <v>61.509313338745784</v>
      </c>
      <c r="C48" s="11"/>
      <c r="D48" s="10">
        <f t="shared" si="3"/>
        <v>46.666666666666664</v>
      </c>
      <c r="F48" s="12" t="s">
        <v>31</v>
      </c>
      <c r="G48" s="12">
        <v>10</v>
      </c>
      <c r="H48" s="13">
        <v>80</v>
      </c>
      <c r="I48" s="14">
        <f>B58</f>
        <v>53.483327280996697</v>
      </c>
      <c r="J48" s="27">
        <f t="shared" si="4"/>
        <v>2510.4363075695073</v>
      </c>
      <c r="K48" s="27">
        <f t="shared" si="5"/>
        <v>5.3483327280996695</v>
      </c>
      <c r="L48" s="27">
        <f t="shared" si="6"/>
        <v>251.04363075695073</v>
      </c>
    </row>
    <row r="49" spans="1:12" ht="16.5" x14ac:dyDescent="0.3">
      <c r="A49" s="9">
        <v>15</v>
      </c>
      <c r="B49" s="10">
        <v>61.509313338745784</v>
      </c>
      <c r="C49" s="11"/>
      <c r="D49" s="10">
        <f t="shared" si="3"/>
        <v>50</v>
      </c>
      <c r="F49" s="12" t="s">
        <v>32</v>
      </c>
      <c r="G49" s="12">
        <v>10</v>
      </c>
      <c r="H49" s="13">
        <v>90</v>
      </c>
      <c r="I49" s="14">
        <f>B61</f>
        <v>49.601071412958376</v>
      </c>
      <c r="J49" s="27">
        <f t="shared" si="4"/>
        <v>2205.0854359901623</v>
      </c>
      <c r="K49" s="27">
        <f t="shared" si="5"/>
        <v>4.960107141295838</v>
      </c>
      <c r="L49" s="27">
        <f t="shared" si="6"/>
        <v>220.50854359901624</v>
      </c>
    </row>
    <row r="50" spans="1:12" ht="16.5" x14ac:dyDescent="0.3">
      <c r="A50" s="9">
        <v>16</v>
      </c>
      <c r="B50" s="10">
        <v>59.065719144021514</v>
      </c>
      <c r="C50" s="11"/>
      <c r="D50" s="10">
        <f t="shared" si="3"/>
        <v>53.333333333333336</v>
      </c>
      <c r="F50" s="12" t="s">
        <v>33</v>
      </c>
      <c r="G50" s="12">
        <v>3.5</v>
      </c>
      <c r="H50" s="13">
        <v>96.75</v>
      </c>
      <c r="I50" s="14">
        <f>$B$64</f>
        <v>37.801083489767478</v>
      </c>
      <c r="J50" s="27">
        <f t="shared" si="4"/>
        <v>1381.5611805114743</v>
      </c>
      <c r="K50" s="27">
        <f t="shared" si="5"/>
        <v>1.3230379221418616</v>
      </c>
      <c r="L50" s="27">
        <f t="shared" si="6"/>
        <v>48.354641317901596</v>
      </c>
    </row>
    <row r="51" spans="1:12" ht="16.5" x14ac:dyDescent="0.3">
      <c r="A51" s="9">
        <v>17</v>
      </c>
      <c r="B51" s="10">
        <v>59.065719144021514</v>
      </c>
      <c r="C51" s="11"/>
      <c r="D51" s="10">
        <f t="shared" si="3"/>
        <v>56.666666666666664</v>
      </c>
      <c r="F51" s="12" t="s">
        <v>34</v>
      </c>
      <c r="G51" s="12">
        <v>1</v>
      </c>
      <c r="H51" s="13">
        <v>99</v>
      </c>
      <c r="I51" s="14">
        <f t="shared" ref="I51:I54" si="7">$B$64</f>
        <v>37.801083489767478</v>
      </c>
      <c r="J51" s="27">
        <f t="shared" si="4"/>
        <v>1381.5611805114743</v>
      </c>
      <c r="K51" s="27">
        <f t="shared" si="5"/>
        <v>0.37801083489767479</v>
      </c>
      <c r="L51" s="27">
        <f t="shared" si="6"/>
        <v>13.815611805114743</v>
      </c>
    </row>
    <row r="52" spans="1:12" ht="16.5" x14ac:dyDescent="0.3">
      <c r="A52" s="9">
        <v>18</v>
      </c>
      <c r="B52" s="10">
        <v>58.257932753454639</v>
      </c>
      <c r="C52" s="11"/>
      <c r="D52" s="10">
        <f t="shared" si="3"/>
        <v>60</v>
      </c>
      <c r="F52" s="12" t="s">
        <v>35</v>
      </c>
      <c r="G52" s="12">
        <v>0.4</v>
      </c>
      <c r="H52" s="13">
        <v>99.7</v>
      </c>
      <c r="I52" s="14">
        <f t="shared" si="7"/>
        <v>37.801083489767478</v>
      </c>
      <c r="J52" s="27">
        <f t="shared" si="4"/>
        <v>1381.5611805114743</v>
      </c>
      <c r="K52" s="27">
        <f t="shared" si="5"/>
        <v>0.15120433395906993</v>
      </c>
      <c r="L52" s="27">
        <f t="shared" si="6"/>
        <v>5.5262447220458979</v>
      </c>
    </row>
    <row r="53" spans="1:12" ht="16.5" x14ac:dyDescent="0.3">
      <c r="A53" s="9">
        <v>19</v>
      </c>
      <c r="B53" s="10">
        <v>57.453549007844892</v>
      </c>
      <c r="C53" s="11"/>
      <c r="D53" s="10">
        <f t="shared" si="3"/>
        <v>63.333333333333329</v>
      </c>
      <c r="F53" s="12" t="s">
        <v>36</v>
      </c>
      <c r="G53" s="12">
        <v>0.08</v>
      </c>
      <c r="H53" s="13">
        <v>99.94</v>
      </c>
      <c r="I53" s="14">
        <f t="shared" si="7"/>
        <v>37.801083489767478</v>
      </c>
      <c r="J53" s="27">
        <f t="shared" si="4"/>
        <v>1381.5611805114743</v>
      </c>
      <c r="K53" s="27">
        <f t="shared" si="5"/>
        <v>3.0240866791813984E-2</v>
      </c>
      <c r="L53" s="27">
        <f t="shared" si="6"/>
        <v>1.1052489444091795</v>
      </c>
    </row>
    <row r="54" spans="1:12" ht="16.5" x14ac:dyDescent="0.3">
      <c r="A54" s="9">
        <v>20</v>
      </c>
      <c r="B54" s="10">
        <v>55.855063709897983</v>
      </c>
      <c r="C54" s="11"/>
      <c r="D54" s="10">
        <f t="shared" si="3"/>
        <v>66.666666666666657</v>
      </c>
      <c r="F54" s="12" t="s">
        <v>37</v>
      </c>
      <c r="G54" s="12">
        <v>0.02</v>
      </c>
      <c r="H54" s="13">
        <v>99.99</v>
      </c>
      <c r="I54" s="14">
        <f t="shared" si="7"/>
        <v>37.801083489767478</v>
      </c>
      <c r="J54" s="27">
        <f t="shared" si="4"/>
        <v>1381.5611805114743</v>
      </c>
      <c r="K54" s="27">
        <f t="shared" si="5"/>
        <v>7.560216697953496E-3</v>
      </c>
      <c r="L54" s="27">
        <f t="shared" si="6"/>
        <v>0.27631223610229488</v>
      </c>
    </row>
    <row r="55" spans="1:12" ht="16.5" x14ac:dyDescent="0.3">
      <c r="A55" s="9">
        <v>21</v>
      </c>
      <c r="B55" s="10">
        <v>55.855063709897983</v>
      </c>
      <c r="C55" s="11"/>
      <c r="D55" s="10">
        <f t="shared" si="3"/>
        <v>70</v>
      </c>
      <c r="F55" s="70" t="s">
        <v>38</v>
      </c>
      <c r="G55" s="71"/>
      <c r="H55" s="71"/>
      <c r="I55" s="71"/>
      <c r="J55" s="72"/>
      <c r="K55" s="15">
        <f>SUM(K35:K54)</f>
        <v>65.442551919623455</v>
      </c>
      <c r="L55" s="27">
        <f>SUM(L35:L54)</f>
        <v>3717.0833916131492</v>
      </c>
    </row>
    <row r="56" spans="1:12" ht="16.5" x14ac:dyDescent="0.3">
      <c r="A56" s="9">
        <v>22</v>
      </c>
      <c r="B56" s="10">
        <v>54.270414634484531</v>
      </c>
      <c r="C56" s="11"/>
      <c r="D56" s="10">
        <f t="shared" si="3"/>
        <v>73.333333333333329</v>
      </c>
    </row>
    <row r="57" spans="1:12" ht="16.5" x14ac:dyDescent="0.3">
      <c r="A57" s="9">
        <v>23</v>
      </c>
      <c r="B57" s="10">
        <v>53.483327280996697</v>
      </c>
      <c r="C57" s="11"/>
      <c r="D57" s="10">
        <f t="shared" si="3"/>
        <v>76.666666666666671</v>
      </c>
      <c r="H57" t="s">
        <v>95</v>
      </c>
      <c r="J57">
        <f>L55*31</f>
        <v>115229.58514000762</v>
      </c>
    </row>
    <row r="58" spans="1:12" ht="16.5" x14ac:dyDescent="0.3">
      <c r="A58" s="9">
        <v>24</v>
      </c>
      <c r="B58" s="10">
        <v>53.483327280996697</v>
      </c>
      <c r="C58" s="11"/>
      <c r="D58" s="10">
        <f t="shared" si="3"/>
        <v>80</v>
      </c>
    </row>
    <row r="59" spans="1:12" ht="16.5" x14ac:dyDescent="0.3">
      <c r="A59" s="9">
        <v>25</v>
      </c>
      <c r="B59" s="10">
        <v>51.91972685189014</v>
      </c>
      <c r="C59" s="11"/>
      <c r="D59" s="10">
        <f t="shared" si="3"/>
        <v>83.333333333333343</v>
      </c>
      <c r="F59" t="s">
        <v>39</v>
      </c>
    </row>
    <row r="60" spans="1:12" ht="16.5" x14ac:dyDescent="0.3">
      <c r="A60" s="9">
        <v>26</v>
      </c>
      <c r="B60" s="10">
        <v>51.143254707777515</v>
      </c>
      <c r="C60" s="11"/>
      <c r="D60" s="10">
        <f t="shared" si="3"/>
        <v>86.666666666666671</v>
      </c>
      <c r="F60" t="s">
        <v>40</v>
      </c>
      <c r="G60" t="s">
        <v>41</v>
      </c>
      <c r="J60" s="16">
        <v>207500000</v>
      </c>
    </row>
    <row r="61" spans="1:12" ht="16.5" x14ac:dyDescent="0.3">
      <c r="A61" s="9">
        <v>27</v>
      </c>
      <c r="B61" s="10">
        <v>49.601071412958376</v>
      </c>
      <c r="C61" s="11"/>
      <c r="D61" s="10">
        <f t="shared" si="3"/>
        <v>90</v>
      </c>
      <c r="F61" t="s">
        <v>42</v>
      </c>
      <c r="G61" t="s">
        <v>43</v>
      </c>
      <c r="J61" s="16">
        <f>J64*365*24*60*60</f>
        <v>2073640564.2848647</v>
      </c>
    </row>
    <row r="62" spans="1:12" ht="16.5" x14ac:dyDescent="0.3">
      <c r="A62" s="9">
        <v>28</v>
      </c>
      <c r="B62" s="10">
        <v>49.601071412958376</v>
      </c>
      <c r="C62" s="11"/>
      <c r="D62" s="10">
        <f t="shared" si="3"/>
        <v>93.333333333333329</v>
      </c>
      <c r="J62">
        <f>J60/J61</f>
        <v>0.10006555792448071</v>
      </c>
    </row>
    <row r="63" spans="1:12" ht="16.5" x14ac:dyDescent="0.3">
      <c r="A63" s="9">
        <v>29</v>
      </c>
      <c r="B63" s="10">
        <v>48.835403251397587</v>
      </c>
      <c r="C63" s="11"/>
      <c r="D63" s="10">
        <f t="shared" si="3"/>
        <v>96.666666666666671</v>
      </c>
    </row>
    <row r="64" spans="1:12" ht="16.5" x14ac:dyDescent="0.3">
      <c r="A64" s="9">
        <v>30</v>
      </c>
      <c r="B64" s="10">
        <v>37.801083489767478</v>
      </c>
      <c r="C64" s="11"/>
      <c r="D64" s="10">
        <f t="shared" si="3"/>
        <v>100</v>
      </c>
      <c r="J64" s="17">
        <f>AVERAGE(J65:J76)</f>
        <v>65.754710942569275</v>
      </c>
    </row>
    <row r="65" spans="1:10" ht="16.5" x14ac:dyDescent="0.3">
      <c r="A65" s="18"/>
      <c r="B65" s="19"/>
      <c r="C65" s="5"/>
      <c r="D65" s="19"/>
      <c r="J65" s="20">
        <v>81.912112034198387</v>
      </c>
    </row>
    <row r="66" spans="1:10" x14ac:dyDescent="0.25">
      <c r="A66" s="18"/>
      <c r="J66" s="20">
        <v>147.06140970147902</v>
      </c>
    </row>
    <row r="67" spans="1:10" ht="26.25" x14ac:dyDescent="0.25">
      <c r="A67" s="18"/>
      <c r="B67" s="1" t="s">
        <v>44</v>
      </c>
      <c r="C67" s="21">
        <f>K57</f>
        <v>0</v>
      </c>
      <c r="D67" s="21">
        <f>J57</f>
        <v>115229.58514000762</v>
      </c>
      <c r="J67" s="20">
        <v>64.583431599478416</v>
      </c>
    </row>
    <row r="68" spans="1:10" ht="38.25" x14ac:dyDescent="0.25">
      <c r="A68" s="18"/>
      <c r="B68" s="22" t="s">
        <v>45</v>
      </c>
      <c r="C68" s="23">
        <v>0.1</v>
      </c>
      <c r="D68" s="23">
        <v>0.1</v>
      </c>
      <c r="J68" s="20">
        <v>69.114147486845226</v>
      </c>
    </row>
    <row r="69" spans="1:10" ht="16.5" x14ac:dyDescent="0.25">
      <c r="A69" s="18"/>
      <c r="B69" s="22" t="s">
        <v>46</v>
      </c>
      <c r="C69" s="14">
        <f>C67*C68</f>
        <v>0</v>
      </c>
      <c r="D69" s="14">
        <f>D67*D68</f>
        <v>11522.958514000762</v>
      </c>
      <c r="J69" s="20">
        <v>67.935586052460039</v>
      </c>
    </row>
    <row r="70" spans="1:10" ht="16.5" x14ac:dyDescent="0.25">
      <c r="A70" s="18"/>
      <c r="B70" s="1" t="s">
        <v>47</v>
      </c>
      <c r="C70" s="23">
        <v>0.92500000000000004</v>
      </c>
      <c r="D70" s="23">
        <v>0.88</v>
      </c>
      <c r="J70" s="20">
        <v>58.690042783852192</v>
      </c>
    </row>
    <row r="71" spans="1:10" ht="38.25" x14ac:dyDescent="0.25">
      <c r="A71" s="18"/>
      <c r="B71" s="22" t="s">
        <v>48</v>
      </c>
      <c r="C71" s="24">
        <f>C70*C67</f>
        <v>0</v>
      </c>
      <c r="D71" s="24">
        <f>D70*D67</f>
        <v>101402.03492320671</v>
      </c>
      <c r="J71" s="20">
        <v>41.391354907140759</v>
      </c>
    </row>
    <row r="72" spans="1:10" ht="38.25" x14ac:dyDescent="0.25">
      <c r="A72" s="18"/>
      <c r="B72" s="22" t="s">
        <v>49</v>
      </c>
      <c r="C72" s="24">
        <f>C71+C69</f>
        <v>0</v>
      </c>
      <c r="D72" s="24">
        <f>D71+D69</f>
        <v>112924.99343720748</v>
      </c>
      <c r="J72" s="20">
        <v>34.967758738057853</v>
      </c>
    </row>
    <row r="73" spans="1:10" ht="26.25" x14ac:dyDescent="0.25">
      <c r="A73" s="18"/>
      <c r="B73" s="25" t="s">
        <v>50</v>
      </c>
      <c r="C73" s="26">
        <f>(C72/C74)*50</f>
        <v>0</v>
      </c>
      <c r="D73" s="26">
        <f>(D72/D74)*50</f>
        <v>2614004.477713136</v>
      </c>
      <c r="J73" s="20">
        <v>19.050827637795845</v>
      </c>
    </row>
    <row r="74" spans="1:10" ht="16.5" x14ac:dyDescent="0.25">
      <c r="A74" s="18"/>
      <c r="B74" s="1" t="s">
        <v>51</v>
      </c>
      <c r="C74" s="12">
        <v>1.1000000000000001</v>
      </c>
      <c r="D74" s="12">
        <v>2.16</v>
      </c>
      <c r="J74" s="20">
        <v>42.043342948179976</v>
      </c>
    </row>
    <row r="75" spans="1:10" x14ac:dyDescent="0.25">
      <c r="A75" s="18"/>
      <c r="J75" s="20">
        <v>109.92851715976649</v>
      </c>
    </row>
    <row r="76" spans="1:10" x14ac:dyDescent="0.25">
      <c r="A76" s="18"/>
      <c r="J76" s="20">
        <v>52.378000261576993</v>
      </c>
    </row>
    <row r="77" spans="1:10" x14ac:dyDescent="0.25">
      <c r="A77" s="18"/>
    </row>
    <row r="78" spans="1:10" x14ac:dyDescent="0.25">
      <c r="A78" s="18"/>
    </row>
    <row r="79" spans="1:10" x14ac:dyDescent="0.25">
      <c r="A79" s="18"/>
    </row>
    <row r="80" spans="1:10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</sheetData>
  <sortState ref="B16:B45">
    <sortCondition descending="1" ref="B16"/>
  </sortState>
  <mergeCells count="7">
    <mergeCell ref="F55:J55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6"/>
  <sheetViews>
    <sheetView topLeftCell="A52" zoomScaleNormal="100" workbookViewId="0">
      <selection activeCell="J58" sqref="J58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1" x14ac:dyDescent="0.25">
      <c r="A1" t="s">
        <v>0</v>
      </c>
    </row>
    <row r="3" spans="1:11" ht="14.45" customHeight="1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1" ht="14.1" customHeight="1" x14ac:dyDescent="0.25">
      <c r="A4" s="73"/>
      <c r="B4" s="74"/>
      <c r="C4" s="74"/>
      <c r="D4" s="73"/>
      <c r="E4" s="74"/>
      <c r="F4" s="73"/>
    </row>
    <row r="5" spans="1:11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2" si="0">0.0864*D5*E5</f>
        <v>7614.9590400000016</v>
      </c>
      <c r="I5" s="5"/>
      <c r="J5" s="6"/>
      <c r="K5" s="5"/>
    </row>
    <row r="6" spans="1:11" x14ac:dyDescent="0.25">
      <c r="A6" s="1">
        <v>2</v>
      </c>
      <c r="B6" s="2">
        <v>34129</v>
      </c>
      <c r="C6" s="1"/>
      <c r="D6" s="1">
        <v>27.6</v>
      </c>
      <c r="E6" s="3">
        <v>915</v>
      </c>
      <c r="F6" s="4">
        <f t="shared" si="0"/>
        <v>2181.9456</v>
      </c>
      <c r="I6" s="5"/>
      <c r="J6" s="6"/>
      <c r="K6" s="5"/>
    </row>
    <row r="7" spans="1:11" x14ac:dyDescent="0.25">
      <c r="A7" s="1">
        <v>3</v>
      </c>
      <c r="B7" s="2">
        <v>34285</v>
      </c>
      <c r="C7" s="1">
        <v>18.3</v>
      </c>
      <c r="D7" s="1">
        <v>23.14</v>
      </c>
      <c r="E7" s="3">
        <v>104</v>
      </c>
      <c r="F7" s="4">
        <f t="shared" si="0"/>
        <v>207.92678400000003</v>
      </c>
      <c r="I7" s="5"/>
      <c r="J7" s="6"/>
      <c r="K7" s="5"/>
    </row>
    <row r="8" spans="1:11" x14ac:dyDescent="0.25">
      <c r="A8" s="1">
        <v>4</v>
      </c>
      <c r="B8" s="2">
        <v>34224</v>
      </c>
      <c r="C8" s="1">
        <v>24.3</v>
      </c>
      <c r="D8" s="1">
        <v>17.46</v>
      </c>
      <c r="E8" s="3">
        <v>207</v>
      </c>
      <c r="F8" s="4">
        <f t="shared" si="0"/>
        <v>312.26860800000003</v>
      </c>
      <c r="I8" s="5"/>
      <c r="J8" s="6"/>
      <c r="K8" s="5"/>
    </row>
    <row r="9" spans="1:11" x14ac:dyDescent="0.25">
      <c r="A9" s="1">
        <v>5</v>
      </c>
      <c r="B9" s="2">
        <v>34312</v>
      </c>
      <c r="C9" s="1">
        <v>5</v>
      </c>
      <c r="D9" s="1">
        <v>26.99</v>
      </c>
      <c r="E9" s="3">
        <v>84</v>
      </c>
      <c r="F9" s="4">
        <f t="shared" si="0"/>
        <v>195.88262399999999</v>
      </c>
      <c r="I9" s="5"/>
      <c r="J9" s="6"/>
      <c r="K9" s="5"/>
    </row>
    <row r="10" spans="1:11" x14ac:dyDescent="0.25">
      <c r="A10" s="1">
        <v>6</v>
      </c>
      <c r="B10" s="2">
        <v>34339</v>
      </c>
      <c r="C10" s="1"/>
      <c r="D10" s="1">
        <v>30.09</v>
      </c>
      <c r="E10" s="3">
        <v>76</v>
      </c>
      <c r="F10" s="4">
        <f t="shared" si="0"/>
        <v>197.58297600000003</v>
      </c>
      <c r="I10" s="5"/>
      <c r="J10" s="6"/>
      <c r="K10" s="5"/>
    </row>
    <row r="11" spans="1:11" x14ac:dyDescent="0.25">
      <c r="A11" s="1">
        <v>7</v>
      </c>
      <c r="B11" s="2">
        <v>34493</v>
      </c>
      <c r="C11" s="1">
        <v>12.3</v>
      </c>
      <c r="D11" s="1">
        <v>19.100000000000001</v>
      </c>
      <c r="E11" s="3">
        <v>312</v>
      </c>
      <c r="F11" s="4">
        <f t="shared" si="0"/>
        <v>514.87488000000008</v>
      </c>
      <c r="I11" s="5"/>
      <c r="J11" s="6"/>
      <c r="K11" s="5"/>
    </row>
    <row r="12" spans="1:11" x14ac:dyDescent="0.25">
      <c r="A12" s="1">
        <v>8</v>
      </c>
      <c r="B12" s="2">
        <v>34527</v>
      </c>
      <c r="C12" s="1">
        <v>18.3</v>
      </c>
      <c r="D12" s="1">
        <v>3.7</v>
      </c>
      <c r="E12" s="3">
        <v>168</v>
      </c>
      <c r="F12" s="4">
        <f t="shared" si="0"/>
        <v>53.706240000000001</v>
      </c>
    </row>
    <row r="13" spans="1:11" x14ac:dyDescent="0.25">
      <c r="A13" s="1">
        <v>9</v>
      </c>
      <c r="B13" s="2">
        <v>34548</v>
      </c>
      <c r="C13" s="1"/>
      <c r="D13" s="1">
        <v>3.5</v>
      </c>
      <c r="E13" s="3">
        <v>157</v>
      </c>
      <c r="F13" s="4">
        <f>0.0864*D13*E13</f>
        <v>47.476799999999997</v>
      </c>
    </row>
    <row r="14" spans="1:11" x14ac:dyDescent="0.25">
      <c r="A14" s="1">
        <v>10</v>
      </c>
      <c r="B14" s="2" t="s">
        <v>94</v>
      </c>
      <c r="C14" s="1"/>
      <c r="D14" s="1">
        <v>12.5</v>
      </c>
      <c r="E14" s="59">
        <v>481.48148148148147</v>
      </c>
      <c r="F14" s="4">
        <f t="shared" ref="F14:F20" si="1">0.0864*D14*E14</f>
        <v>520</v>
      </c>
    </row>
    <row r="15" spans="1:11" x14ac:dyDescent="0.25">
      <c r="A15" s="1">
        <v>11</v>
      </c>
      <c r="B15" s="2" t="s">
        <v>94</v>
      </c>
      <c r="C15" s="1"/>
      <c r="D15" s="1">
        <v>13.5</v>
      </c>
      <c r="E15" s="59">
        <v>188.6145404663923</v>
      </c>
      <c r="F15" s="4">
        <f t="shared" si="1"/>
        <v>220</v>
      </c>
    </row>
    <row r="16" spans="1:11" x14ac:dyDescent="0.25">
      <c r="A16" s="1">
        <v>12</v>
      </c>
      <c r="B16" s="2" t="s">
        <v>94</v>
      </c>
      <c r="C16" s="1"/>
      <c r="D16" s="1">
        <v>17</v>
      </c>
      <c r="E16" s="59">
        <v>748.91067538126356</v>
      </c>
      <c r="F16" s="4">
        <f t="shared" si="1"/>
        <v>1100</v>
      </c>
    </row>
    <row r="17" spans="1:6" x14ac:dyDescent="0.25">
      <c r="A17" s="1">
        <v>13</v>
      </c>
      <c r="B17" s="2" t="s">
        <v>94</v>
      </c>
      <c r="C17" s="1"/>
      <c r="D17" s="1">
        <v>17.2</v>
      </c>
      <c r="E17" s="59">
        <v>679.64039621016366</v>
      </c>
      <c r="F17" s="4">
        <f t="shared" si="1"/>
        <v>1010</v>
      </c>
    </row>
    <row r="18" spans="1:6" x14ac:dyDescent="0.25">
      <c r="A18" s="1">
        <v>14</v>
      </c>
      <c r="B18" s="2" t="s">
        <v>94</v>
      </c>
      <c r="C18" s="1"/>
      <c r="D18" s="1">
        <v>20.5</v>
      </c>
      <c r="E18" s="59">
        <v>304.8780487804878</v>
      </c>
      <c r="F18" s="4">
        <f t="shared" si="1"/>
        <v>540</v>
      </c>
    </row>
    <row r="19" spans="1:6" x14ac:dyDescent="0.25">
      <c r="A19" s="1">
        <v>15</v>
      </c>
      <c r="B19" s="2" t="s">
        <v>94</v>
      </c>
      <c r="C19" s="1"/>
      <c r="D19" s="1">
        <v>22</v>
      </c>
      <c r="E19" s="59">
        <v>284.09090909090907</v>
      </c>
      <c r="F19" s="4">
        <f t="shared" si="1"/>
        <v>540</v>
      </c>
    </row>
    <row r="20" spans="1:6" x14ac:dyDescent="0.25">
      <c r="A20" s="1">
        <v>16</v>
      </c>
      <c r="B20" s="2" t="s">
        <v>94</v>
      </c>
      <c r="C20" s="1"/>
      <c r="D20" s="1">
        <v>32</v>
      </c>
      <c r="E20" s="59">
        <v>1302.0833333333333</v>
      </c>
      <c r="F20" s="4">
        <f t="shared" si="1"/>
        <v>3600</v>
      </c>
    </row>
    <row r="21" spans="1:6" x14ac:dyDescent="0.25">
      <c r="A21" s="1">
        <v>17</v>
      </c>
      <c r="B21" s="2">
        <v>30388</v>
      </c>
      <c r="C21" s="1"/>
      <c r="D21" s="1">
        <v>6.88</v>
      </c>
      <c r="E21" s="3">
        <v>47</v>
      </c>
      <c r="F21" s="4">
        <f>0.0864*D21*E21</f>
        <v>27.938304000000002</v>
      </c>
    </row>
    <row r="22" spans="1:6" x14ac:dyDescent="0.25">
      <c r="A22" s="1">
        <v>18</v>
      </c>
      <c r="B22" s="2">
        <v>30388</v>
      </c>
      <c r="C22" s="1"/>
      <c r="D22" s="1">
        <v>7.11</v>
      </c>
      <c r="E22" s="3">
        <v>73</v>
      </c>
      <c r="F22" s="4">
        <f t="shared" ref="F22:F29" si="2">0.0864*D22*E22</f>
        <v>44.844192000000007</v>
      </c>
    </row>
    <row r="23" spans="1:6" x14ac:dyDescent="0.25">
      <c r="A23" s="1">
        <v>19</v>
      </c>
      <c r="B23" s="2">
        <v>30391</v>
      </c>
      <c r="C23" s="1"/>
      <c r="D23" s="1">
        <v>2.81</v>
      </c>
      <c r="E23" s="3">
        <v>43</v>
      </c>
      <c r="F23" s="4">
        <f t="shared" si="2"/>
        <v>10.439712000000002</v>
      </c>
    </row>
    <row r="24" spans="1:6" x14ac:dyDescent="0.25">
      <c r="A24" s="1">
        <v>20</v>
      </c>
      <c r="B24" s="2">
        <v>30391</v>
      </c>
      <c r="C24" s="1"/>
      <c r="D24" s="1">
        <v>2.67</v>
      </c>
      <c r="E24" s="3">
        <v>47</v>
      </c>
      <c r="F24" s="4">
        <f t="shared" si="2"/>
        <v>10.842336</v>
      </c>
    </row>
    <row r="25" spans="1:6" x14ac:dyDescent="0.25">
      <c r="A25" s="1">
        <v>21</v>
      </c>
      <c r="B25" s="2">
        <v>30150</v>
      </c>
      <c r="C25" s="1"/>
      <c r="D25" s="1">
        <v>6.88</v>
      </c>
      <c r="E25" s="3">
        <v>109</v>
      </c>
      <c r="F25" s="4">
        <f t="shared" si="2"/>
        <v>64.793088000000012</v>
      </c>
    </row>
    <row r="26" spans="1:6" x14ac:dyDescent="0.25">
      <c r="A26" s="1">
        <v>22</v>
      </c>
      <c r="B26" s="2">
        <v>30653</v>
      </c>
      <c r="C26" s="1"/>
      <c r="D26" s="1">
        <v>1.82</v>
      </c>
      <c r="E26" s="3">
        <v>28</v>
      </c>
      <c r="F26" s="4">
        <f t="shared" si="2"/>
        <v>4.4029440000000006</v>
      </c>
    </row>
    <row r="27" spans="1:6" x14ac:dyDescent="0.25">
      <c r="A27" s="1">
        <v>23</v>
      </c>
      <c r="B27" s="2">
        <v>30653</v>
      </c>
      <c r="C27" s="1"/>
      <c r="D27" s="1">
        <v>1.61</v>
      </c>
      <c r="E27" s="3">
        <v>41</v>
      </c>
      <c r="F27" s="4">
        <f t="shared" si="2"/>
        <v>5.7032639999999999</v>
      </c>
    </row>
    <row r="28" spans="1:6" x14ac:dyDescent="0.25">
      <c r="A28" s="1">
        <v>24</v>
      </c>
      <c r="B28" s="2">
        <v>30392</v>
      </c>
      <c r="C28" s="1"/>
      <c r="D28" s="1">
        <v>3.19</v>
      </c>
      <c r="E28" s="3">
        <v>50</v>
      </c>
      <c r="F28" s="4">
        <f t="shared" si="2"/>
        <v>13.780800000000001</v>
      </c>
    </row>
    <row r="29" spans="1:6" x14ac:dyDescent="0.25">
      <c r="A29" s="1">
        <v>25</v>
      </c>
      <c r="B29" s="2">
        <v>30392</v>
      </c>
      <c r="C29" s="1"/>
      <c r="D29" s="1">
        <v>3.71</v>
      </c>
      <c r="E29" s="3">
        <v>152</v>
      </c>
      <c r="F29" s="4">
        <f t="shared" si="2"/>
        <v>48.722687999999998</v>
      </c>
    </row>
    <row r="33" spans="1:12" x14ac:dyDescent="0.25">
      <c r="F33" t="s">
        <v>7</v>
      </c>
    </row>
    <row r="34" spans="1:12" x14ac:dyDescent="0.25">
      <c r="F34" t="s">
        <v>8</v>
      </c>
      <c r="J34" s="7" t="s">
        <v>52</v>
      </c>
    </row>
    <row r="35" spans="1:12" ht="49.5" x14ac:dyDescent="0.25">
      <c r="A35" s="8" t="s">
        <v>9</v>
      </c>
      <c r="B35" s="8" t="s">
        <v>10</v>
      </c>
      <c r="C35" s="8"/>
      <c r="D35" s="8" t="s">
        <v>11</v>
      </c>
      <c r="F35" s="8" t="s">
        <v>12</v>
      </c>
      <c r="G35" s="8" t="s">
        <v>13</v>
      </c>
      <c r="H35" s="8" t="s">
        <v>14</v>
      </c>
      <c r="I35" s="8" t="s">
        <v>10</v>
      </c>
      <c r="J35" s="8" t="s">
        <v>15</v>
      </c>
      <c r="K35" s="8" t="s">
        <v>16</v>
      </c>
      <c r="L35" s="8" t="s">
        <v>17</v>
      </c>
    </row>
    <row r="36" spans="1:12" ht="16.5" x14ac:dyDescent="0.3">
      <c r="A36" s="9">
        <v>1</v>
      </c>
      <c r="B36" s="10">
        <v>214.95962750353564</v>
      </c>
      <c r="C36" s="11"/>
      <c r="D36" s="10">
        <f>(A36/30)*100</f>
        <v>3.3333333333333335</v>
      </c>
      <c r="F36" s="12" t="s">
        <v>18</v>
      </c>
      <c r="G36" s="12">
        <v>0.02</v>
      </c>
      <c r="H36" s="13">
        <v>0.01</v>
      </c>
      <c r="I36" s="14">
        <f>B36</f>
        <v>214.95962750353564</v>
      </c>
      <c r="J36" s="27">
        <f>2.6637*(I36^1.721)</f>
        <v>27508.793110965053</v>
      </c>
      <c r="K36" s="27">
        <f>G36*I36*0.01</f>
        <v>4.2991925500707129E-2</v>
      </c>
      <c r="L36" s="27">
        <f>G36*J36*0.01</f>
        <v>5.5017586221930106</v>
      </c>
    </row>
    <row r="37" spans="1:12" ht="16.5" x14ac:dyDescent="0.3">
      <c r="A37" s="9">
        <v>2</v>
      </c>
      <c r="B37" s="10">
        <v>112.53129738946579</v>
      </c>
      <c r="C37" s="11"/>
      <c r="D37" s="10">
        <f t="shared" ref="D37:D65" si="3">(A37/30)*100</f>
        <v>6.666666666666667</v>
      </c>
      <c r="F37" s="12" t="s">
        <v>19</v>
      </c>
      <c r="G37" s="12">
        <v>0.08</v>
      </c>
      <c r="H37" s="13">
        <v>0.06</v>
      </c>
      <c r="I37" s="14">
        <f>B36</f>
        <v>214.95962750353564</v>
      </c>
      <c r="J37" s="27">
        <f t="shared" ref="J37:J55" si="4">2.6637*(I37^1.721)</f>
        <v>27508.793110965053</v>
      </c>
      <c r="K37" s="27">
        <f t="shared" ref="K37:K55" si="5">G37*I37*0.01</f>
        <v>0.17196770200282852</v>
      </c>
      <c r="L37" s="27">
        <f t="shared" ref="L37:L55" si="6">G37*J37*0.01</f>
        <v>22.007034488772042</v>
      </c>
    </row>
    <row r="38" spans="1:12" ht="16.5" x14ac:dyDescent="0.3">
      <c r="A38" s="9">
        <v>3</v>
      </c>
      <c r="B38" s="10">
        <v>99.314078386700231</v>
      </c>
      <c r="C38" s="11"/>
      <c r="D38" s="10">
        <f t="shared" si="3"/>
        <v>10</v>
      </c>
      <c r="F38" s="12" t="s">
        <v>20</v>
      </c>
      <c r="G38" s="12">
        <v>0.4</v>
      </c>
      <c r="H38" s="13">
        <v>0.3</v>
      </c>
      <c r="I38" s="14">
        <f>B36</f>
        <v>214.95962750353564</v>
      </c>
      <c r="J38" s="27">
        <f t="shared" si="4"/>
        <v>27508.793110965053</v>
      </c>
      <c r="K38" s="27">
        <f t="shared" si="5"/>
        <v>0.85983851001414269</v>
      </c>
      <c r="L38" s="27">
        <f t="shared" si="6"/>
        <v>110.03517244386022</v>
      </c>
    </row>
    <row r="39" spans="1:12" ht="16.5" x14ac:dyDescent="0.3">
      <c r="A39" s="9">
        <v>4</v>
      </c>
      <c r="B39" s="10">
        <v>94.917841637567008</v>
      </c>
      <c r="C39" s="11"/>
      <c r="D39" s="10">
        <f t="shared" si="3"/>
        <v>13.333333333333334</v>
      </c>
      <c r="F39" s="12" t="s">
        <v>21</v>
      </c>
      <c r="G39" s="12">
        <v>0.25</v>
      </c>
      <c r="H39" s="13">
        <v>0.63</v>
      </c>
      <c r="I39" s="14">
        <f>B36</f>
        <v>214.95962750353564</v>
      </c>
      <c r="J39" s="27">
        <f t="shared" si="4"/>
        <v>27508.793110965053</v>
      </c>
      <c r="K39" s="27">
        <f t="shared" si="5"/>
        <v>0.53739906875883914</v>
      </c>
      <c r="L39" s="27">
        <f t="shared" si="6"/>
        <v>68.771982777412632</v>
      </c>
    </row>
    <row r="40" spans="1:12" ht="16.5" x14ac:dyDescent="0.3">
      <c r="A40" s="9">
        <v>5</v>
      </c>
      <c r="B40" s="10">
        <v>78.545126044889997</v>
      </c>
      <c r="C40" s="11"/>
      <c r="D40" s="10">
        <f t="shared" si="3"/>
        <v>16.666666666666664</v>
      </c>
      <c r="F40" s="12" t="s">
        <v>22</v>
      </c>
      <c r="G40" s="12">
        <v>0.75</v>
      </c>
      <c r="H40" s="13">
        <v>1.1299999999999999</v>
      </c>
      <c r="I40" s="14">
        <f>B36</f>
        <v>214.95962750353564</v>
      </c>
      <c r="J40" s="27">
        <f t="shared" si="4"/>
        <v>27508.793110965053</v>
      </c>
      <c r="K40" s="27">
        <f t="shared" si="5"/>
        <v>1.6121972062765173</v>
      </c>
      <c r="L40" s="27">
        <f t="shared" si="6"/>
        <v>206.31594833223789</v>
      </c>
    </row>
    <row r="41" spans="1:12" ht="16.5" x14ac:dyDescent="0.3">
      <c r="A41" s="9">
        <v>6</v>
      </c>
      <c r="B41" s="10">
        <v>78.250954697690233</v>
      </c>
      <c r="C41" s="11"/>
      <c r="D41" s="10">
        <f t="shared" si="3"/>
        <v>20</v>
      </c>
      <c r="F41" s="12" t="s">
        <v>23</v>
      </c>
      <c r="G41" s="12">
        <v>3.5</v>
      </c>
      <c r="H41" s="13">
        <v>3.25</v>
      </c>
      <c r="I41" s="14">
        <f>B36</f>
        <v>214.95962750353564</v>
      </c>
      <c r="J41" s="27">
        <f t="shared" si="4"/>
        <v>27508.793110965053</v>
      </c>
      <c r="K41" s="27">
        <f t="shared" si="5"/>
        <v>7.5235869626237477</v>
      </c>
      <c r="L41" s="27">
        <f t="shared" si="6"/>
        <v>962.80775888377684</v>
      </c>
    </row>
    <row r="42" spans="1:12" ht="16.5" x14ac:dyDescent="0.3">
      <c r="A42" s="9">
        <v>7</v>
      </c>
      <c r="B42" s="10">
        <v>74.168167693591343</v>
      </c>
      <c r="C42" s="11"/>
      <c r="D42" s="10">
        <f t="shared" si="3"/>
        <v>23.333333333333332</v>
      </c>
      <c r="F42" s="12" t="s">
        <v>24</v>
      </c>
      <c r="G42" s="12">
        <v>10</v>
      </c>
      <c r="H42" s="13">
        <v>10</v>
      </c>
      <c r="I42" s="14">
        <f>B38</f>
        <v>99.314078386700231</v>
      </c>
      <c r="J42" s="27">
        <f t="shared" si="4"/>
        <v>7283.5134477831089</v>
      </c>
      <c r="K42" s="27">
        <f t="shared" si="5"/>
        <v>9.9314078386700224</v>
      </c>
      <c r="L42" s="27">
        <f t="shared" si="6"/>
        <v>728.35134477831093</v>
      </c>
    </row>
    <row r="43" spans="1:12" ht="16.5" x14ac:dyDescent="0.3">
      <c r="A43" s="9">
        <v>8</v>
      </c>
      <c r="B43" s="10">
        <v>73.879104078807629</v>
      </c>
      <c r="C43" s="11"/>
      <c r="D43" s="10">
        <f t="shared" si="3"/>
        <v>26.666666666666668</v>
      </c>
      <c r="F43" s="12" t="s">
        <v>25</v>
      </c>
      <c r="G43" s="12">
        <v>10</v>
      </c>
      <c r="H43" s="13">
        <v>20</v>
      </c>
      <c r="I43" s="14">
        <f>B41</f>
        <v>78.250954697690233</v>
      </c>
      <c r="J43" s="27">
        <f t="shared" si="4"/>
        <v>4832.6015569961437</v>
      </c>
      <c r="K43" s="27">
        <f t="shared" si="5"/>
        <v>7.8250954697690238</v>
      </c>
      <c r="L43" s="27">
        <f t="shared" si="6"/>
        <v>483.26015569961442</v>
      </c>
    </row>
    <row r="44" spans="1:12" ht="16.5" x14ac:dyDescent="0.3">
      <c r="A44" s="9">
        <v>9</v>
      </c>
      <c r="B44" s="10">
        <v>70.152832225297004</v>
      </c>
      <c r="C44" s="11"/>
      <c r="D44" s="10">
        <f t="shared" si="3"/>
        <v>30</v>
      </c>
      <c r="F44" s="12" t="s">
        <v>26</v>
      </c>
      <c r="G44" s="12">
        <v>10</v>
      </c>
      <c r="H44" s="13">
        <v>30</v>
      </c>
      <c r="I44" s="14">
        <f>B44</f>
        <v>70.152832225297004</v>
      </c>
      <c r="J44" s="27">
        <f t="shared" si="4"/>
        <v>4004.3231292128448</v>
      </c>
      <c r="K44" s="27">
        <f t="shared" si="5"/>
        <v>7.0152832225297006</v>
      </c>
      <c r="L44" s="27">
        <f t="shared" si="6"/>
        <v>400.43231292128445</v>
      </c>
    </row>
    <row r="45" spans="1:12" ht="16.5" x14ac:dyDescent="0.3">
      <c r="A45" s="9">
        <v>10</v>
      </c>
      <c r="B45" s="10">
        <v>69.301319208336807</v>
      </c>
      <c r="C45" s="11"/>
      <c r="D45" s="10">
        <f t="shared" si="3"/>
        <v>33.333333333333329</v>
      </c>
      <c r="F45" s="12" t="s">
        <v>27</v>
      </c>
      <c r="G45" s="12">
        <v>10</v>
      </c>
      <c r="H45" s="13">
        <v>40</v>
      </c>
      <c r="I45" s="14">
        <f>B47</f>
        <v>63.982891262973887</v>
      </c>
      <c r="J45" s="27">
        <f t="shared" si="4"/>
        <v>3417.599879443178</v>
      </c>
      <c r="K45" s="27">
        <f t="shared" si="5"/>
        <v>6.3982891262973887</v>
      </c>
      <c r="L45" s="27">
        <f t="shared" si="6"/>
        <v>341.75998794431786</v>
      </c>
    </row>
    <row r="46" spans="1:12" ht="16.5" x14ac:dyDescent="0.3">
      <c r="A46" s="9">
        <v>11</v>
      </c>
      <c r="B46" s="10">
        <v>68.452986185377384</v>
      </c>
      <c r="C46" s="11"/>
      <c r="D46" s="10">
        <f t="shared" si="3"/>
        <v>36.666666666666664</v>
      </c>
      <c r="F46" s="12" t="s">
        <v>28</v>
      </c>
      <c r="G46" s="12">
        <v>10</v>
      </c>
      <c r="H46" s="13">
        <v>50</v>
      </c>
      <c r="I46" s="14">
        <f>B50</f>
        <v>62.056422548342447</v>
      </c>
      <c r="J46" s="27">
        <f t="shared" si="4"/>
        <v>3242.4350297736046</v>
      </c>
      <c r="K46" s="27">
        <f t="shared" si="5"/>
        <v>6.2056422548342454</v>
      </c>
      <c r="L46" s="27">
        <f t="shared" si="6"/>
        <v>324.24350297736049</v>
      </c>
    </row>
    <row r="47" spans="1:12" ht="16.5" x14ac:dyDescent="0.3">
      <c r="A47" s="9">
        <v>12</v>
      </c>
      <c r="B47" s="10">
        <v>63.982891262973887</v>
      </c>
      <c r="C47" s="11"/>
      <c r="D47" s="10">
        <f t="shared" si="3"/>
        <v>40</v>
      </c>
      <c r="F47" s="12" t="s">
        <v>29</v>
      </c>
      <c r="G47" s="12">
        <v>10</v>
      </c>
      <c r="H47" s="13">
        <v>60</v>
      </c>
      <c r="I47" s="14">
        <f>B53</f>
        <v>57.989425859040651</v>
      </c>
      <c r="J47" s="27">
        <f t="shared" si="4"/>
        <v>2885.4171637726945</v>
      </c>
      <c r="K47" s="27">
        <f t="shared" si="5"/>
        <v>5.7989425859040651</v>
      </c>
      <c r="L47" s="27">
        <f t="shared" si="6"/>
        <v>288.54171637726944</v>
      </c>
    </row>
    <row r="48" spans="1:12" ht="16.5" x14ac:dyDescent="0.3">
      <c r="A48" s="9">
        <v>13</v>
      </c>
      <c r="B48" s="10">
        <v>62.330530781149662</v>
      </c>
      <c r="C48" s="11"/>
      <c r="D48" s="10">
        <f t="shared" si="3"/>
        <v>43.333333333333336</v>
      </c>
      <c r="F48" s="12" t="s">
        <v>30</v>
      </c>
      <c r="G48" s="12">
        <v>10</v>
      </c>
      <c r="H48" s="13">
        <v>70</v>
      </c>
      <c r="I48" s="14">
        <f>B56</f>
        <v>53.483327280996697</v>
      </c>
      <c r="J48" s="27">
        <f t="shared" si="4"/>
        <v>2510.4363075695073</v>
      </c>
      <c r="K48" s="27">
        <f t="shared" si="5"/>
        <v>5.3483327280996695</v>
      </c>
      <c r="L48" s="27">
        <f t="shared" si="6"/>
        <v>251.04363075695073</v>
      </c>
    </row>
    <row r="49" spans="1:12" ht="16.5" x14ac:dyDescent="0.3">
      <c r="A49" s="9">
        <v>14</v>
      </c>
      <c r="B49" s="10">
        <v>62.330530781149662</v>
      </c>
      <c r="C49" s="11"/>
      <c r="D49" s="10">
        <f t="shared" si="3"/>
        <v>46.666666666666664</v>
      </c>
      <c r="F49" s="12" t="s">
        <v>31</v>
      </c>
      <c r="G49" s="12">
        <v>10</v>
      </c>
      <c r="H49" s="13">
        <v>80</v>
      </c>
      <c r="I49" s="14">
        <f>B59</f>
        <v>51.143254707777515</v>
      </c>
      <c r="J49" s="27">
        <f t="shared" si="4"/>
        <v>2324.3958043117273</v>
      </c>
      <c r="K49" s="27">
        <f t="shared" si="5"/>
        <v>5.1143254707777519</v>
      </c>
      <c r="L49" s="27">
        <f t="shared" si="6"/>
        <v>232.43958043117274</v>
      </c>
    </row>
    <row r="50" spans="1:12" ht="16.5" x14ac:dyDescent="0.3">
      <c r="A50" s="9">
        <v>15</v>
      </c>
      <c r="B50" s="10">
        <v>62.056422548342447</v>
      </c>
      <c r="C50" s="11"/>
      <c r="D50" s="10">
        <f t="shared" si="3"/>
        <v>50</v>
      </c>
      <c r="F50" s="12" t="s">
        <v>32</v>
      </c>
      <c r="G50" s="12">
        <v>10</v>
      </c>
      <c r="H50" s="13">
        <v>90</v>
      </c>
      <c r="I50" s="14">
        <f>B62</f>
        <v>49.090222076689841</v>
      </c>
      <c r="J50" s="27">
        <f t="shared" si="4"/>
        <v>2166.1458758092749</v>
      </c>
      <c r="K50" s="27">
        <f t="shared" si="5"/>
        <v>4.9090222076689836</v>
      </c>
      <c r="L50" s="27">
        <f t="shared" si="6"/>
        <v>216.61458758092749</v>
      </c>
    </row>
    <row r="51" spans="1:12" ht="16.5" x14ac:dyDescent="0.3">
      <c r="A51" s="9">
        <v>16</v>
      </c>
      <c r="B51" s="10">
        <v>61.509313338745784</v>
      </c>
      <c r="C51" s="11"/>
      <c r="D51" s="10">
        <f t="shared" si="3"/>
        <v>53.333333333333336</v>
      </c>
      <c r="F51" s="12" t="s">
        <v>33</v>
      </c>
      <c r="G51" s="12">
        <v>3.5</v>
      </c>
      <c r="H51" s="13">
        <v>96.75</v>
      </c>
      <c r="I51" s="14">
        <f>$B$65</f>
        <v>46.059309368916445</v>
      </c>
      <c r="J51" s="27">
        <f t="shared" si="4"/>
        <v>1941.12987405234</v>
      </c>
      <c r="K51" s="27">
        <f t="shared" si="5"/>
        <v>1.6120758279120757</v>
      </c>
      <c r="L51" s="27">
        <f t="shared" si="6"/>
        <v>67.939545591831902</v>
      </c>
    </row>
    <row r="52" spans="1:12" ht="16.5" x14ac:dyDescent="0.3">
      <c r="A52" s="9">
        <v>17</v>
      </c>
      <c r="B52" s="10">
        <v>59.335734260857137</v>
      </c>
      <c r="C52" s="11"/>
      <c r="D52" s="10">
        <f t="shared" si="3"/>
        <v>56.666666666666664</v>
      </c>
      <c r="F52" s="12" t="s">
        <v>34</v>
      </c>
      <c r="G52" s="12">
        <v>1</v>
      </c>
      <c r="H52" s="13">
        <v>99</v>
      </c>
      <c r="I52" s="14">
        <f t="shared" ref="I52:I55" si="7">$B$65</f>
        <v>46.059309368916445</v>
      </c>
      <c r="J52" s="27">
        <f t="shared" si="4"/>
        <v>1941.12987405234</v>
      </c>
      <c r="K52" s="27">
        <f t="shared" si="5"/>
        <v>0.46059309368916446</v>
      </c>
      <c r="L52" s="27">
        <f t="shared" si="6"/>
        <v>19.411298740523399</v>
      </c>
    </row>
    <row r="53" spans="1:12" ht="16.5" x14ac:dyDescent="0.3">
      <c r="A53" s="9">
        <v>18</v>
      </c>
      <c r="B53" s="10">
        <v>57.989425859040651</v>
      </c>
      <c r="C53" s="11"/>
      <c r="D53" s="10">
        <f t="shared" si="3"/>
        <v>60</v>
      </c>
      <c r="F53" s="12" t="s">
        <v>35</v>
      </c>
      <c r="G53" s="12">
        <v>0.4</v>
      </c>
      <c r="H53" s="13">
        <v>99.7</v>
      </c>
      <c r="I53" s="14">
        <f t="shared" si="7"/>
        <v>46.059309368916445</v>
      </c>
      <c r="J53" s="27">
        <f t="shared" si="4"/>
        <v>1941.12987405234</v>
      </c>
      <c r="K53" s="27">
        <f t="shared" si="5"/>
        <v>0.18423723747566581</v>
      </c>
      <c r="L53" s="27">
        <f t="shared" si="6"/>
        <v>7.7645194962093607</v>
      </c>
    </row>
    <row r="54" spans="1:12" ht="16.5" x14ac:dyDescent="0.3">
      <c r="A54" s="9">
        <v>19</v>
      </c>
      <c r="B54" s="10">
        <v>55.58999052531933</v>
      </c>
      <c r="C54" s="11"/>
      <c r="D54" s="10">
        <f t="shared" si="3"/>
        <v>63.333333333333329</v>
      </c>
      <c r="F54" s="12" t="s">
        <v>36</v>
      </c>
      <c r="G54" s="12">
        <v>0.08</v>
      </c>
      <c r="H54" s="13">
        <v>99.94</v>
      </c>
      <c r="I54" s="14">
        <f t="shared" si="7"/>
        <v>46.059309368916445</v>
      </c>
      <c r="J54" s="27">
        <f t="shared" si="4"/>
        <v>1941.12987405234</v>
      </c>
      <c r="K54" s="27">
        <f t="shared" si="5"/>
        <v>3.6847447495133155E-2</v>
      </c>
      <c r="L54" s="27">
        <f t="shared" si="6"/>
        <v>1.552903899241872</v>
      </c>
    </row>
    <row r="55" spans="1:12" ht="16.5" x14ac:dyDescent="0.3">
      <c r="A55" s="9">
        <v>20</v>
      </c>
      <c r="B55" s="10">
        <v>55.58999052531933</v>
      </c>
      <c r="C55" s="11"/>
      <c r="D55" s="10">
        <f t="shared" si="3"/>
        <v>66.666666666666657</v>
      </c>
      <c r="F55" s="12" t="s">
        <v>37</v>
      </c>
      <c r="G55" s="12">
        <v>0.02</v>
      </c>
      <c r="H55" s="13">
        <v>99.99</v>
      </c>
      <c r="I55" s="14">
        <f t="shared" si="7"/>
        <v>46.059309368916445</v>
      </c>
      <c r="J55" s="27">
        <f t="shared" si="4"/>
        <v>1941.12987405234</v>
      </c>
      <c r="K55" s="27">
        <f t="shared" si="5"/>
        <v>9.2118618737832888E-3</v>
      </c>
      <c r="L55" s="27">
        <f t="shared" si="6"/>
        <v>0.388225974810468</v>
      </c>
    </row>
    <row r="56" spans="1:12" ht="16.5" x14ac:dyDescent="0.3">
      <c r="A56" s="9">
        <v>21</v>
      </c>
      <c r="B56" s="10">
        <v>53.483327280996697</v>
      </c>
      <c r="C56" s="11"/>
      <c r="D56" s="10">
        <f t="shared" si="3"/>
        <v>70</v>
      </c>
      <c r="F56" s="70" t="s">
        <v>38</v>
      </c>
      <c r="G56" s="71"/>
      <c r="H56" s="71"/>
      <c r="I56" s="71"/>
      <c r="J56" s="72"/>
      <c r="K56" s="15">
        <f>SUM(K36:K55)</f>
        <v>71.597287748173471</v>
      </c>
      <c r="L56" s="27">
        <f>SUM(L36:L55)</f>
        <v>4739.182968718078</v>
      </c>
    </row>
    <row r="57" spans="1:12" ht="16.5" x14ac:dyDescent="0.3">
      <c r="A57" s="9">
        <v>22</v>
      </c>
      <c r="B57" s="10">
        <v>52.699757919775742</v>
      </c>
      <c r="C57" s="11"/>
      <c r="D57" s="10">
        <f t="shared" si="3"/>
        <v>73.333333333333329</v>
      </c>
    </row>
    <row r="58" spans="1:12" ht="16.5" x14ac:dyDescent="0.3">
      <c r="A58" s="9">
        <v>23</v>
      </c>
      <c r="B58" s="10">
        <v>52.179342797537238</v>
      </c>
      <c r="C58" s="11"/>
      <c r="D58" s="10">
        <f t="shared" si="3"/>
        <v>76.666666666666671</v>
      </c>
      <c r="H58" t="s">
        <v>95</v>
      </c>
      <c r="J58">
        <f>L56*30</f>
        <v>142175.48906154235</v>
      </c>
    </row>
    <row r="59" spans="1:12" ht="16.5" x14ac:dyDescent="0.3">
      <c r="A59" s="9">
        <v>24</v>
      </c>
      <c r="B59" s="10">
        <v>51.143254707777515</v>
      </c>
      <c r="C59" s="11"/>
      <c r="D59" s="10">
        <f t="shared" si="3"/>
        <v>80</v>
      </c>
    </row>
    <row r="60" spans="1:12" ht="16.5" x14ac:dyDescent="0.3">
      <c r="A60" s="9">
        <v>25</v>
      </c>
      <c r="B60" s="10">
        <v>49.601071412958376</v>
      </c>
      <c r="C60" s="11"/>
      <c r="D60" s="10">
        <f t="shared" si="3"/>
        <v>83.333333333333343</v>
      </c>
      <c r="F60" t="s">
        <v>39</v>
      </c>
    </row>
    <row r="61" spans="1:12" ht="16.5" x14ac:dyDescent="0.3">
      <c r="A61" s="9">
        <v>26</v>
      </c>
      <c r="B61" s="10">
        <v>49.601071412958376</v>
      </c>
      <c r="C61" s="11"/>
      <c r="D61" s="10">
        <f t="shared" si="3"/>
        <v>86.666666666666671</v>
      </c>
      <c r="F61" t="s">
        <v>40</v>
      </c>
      <c r="G61" t="s">
        <v>41</v>
      </c>
      <c r="J61" s="16">
        <v>207500000</v>
      </c>
    </row>
    <row r="62" spans="1:12" ht="16.5" x14ac:dyDescent="0.3">
      <c r="A62" s="9">
        <v>27</v>
      </c>
      <c r="B62" s="10">
        <v>49.090222076689841</v>
      </c>
      <c r="C62" s="11"/>
      <c r="D62" s="10">
        <f t="shared" si="3"/>
        <v>90</v>
      </c>
      <c r="F62" t="s">
        <v>42</v>
      </c>
      <c r="G62" t="s">
        <v>43</v>
      </c>
      <c r="J62" s="16">
        <f>J65*365*24*60*60</f>
        <v>2073640564.2848647</v>
      </c>
    </row>
    <row r="63" spans="1:12" ht="16.5" x14ac:dyDescent="0.3">
      <c r="A63" s="9">
        <v>28</v>
      </c>
      <c r="B63" s="10">
        <v>47.567400528746873</v>
      </c>
      <c r="C63" s="11"/>
      <c r="D63" s="10">
        <f t="shared" si="3"/>
        <v>93.333333333333329</v>
      </c>
      <c r="J63">
        <f>J61/J62</f>
        <v>0.10006555792448071</v>
      </c>
    </row>
    <row r="64" spans="1:12" ht="16.5" x14ac:dyDescent="0.3">
      <c r="A64" s="9">
        <v>29</v>
      </c>
      <c r="B64" s="10">
        <v>46.811502164842416</v>
      </c>
      <c r="C64" s="11"/>
      <c r="D64" s="10">
        <f t="shared" si="3"/>
        <v>96.666666666666671</v>
      </c>
    </row>
    <row r="65" spans="1:10" ht="16.5" x14ac:dyDescent="0.3">
      <c r="A65" s="9">
        <v>30</v>
      </c>
      <c r="B65" s="10">
        <v>46.059309368916445</v>
      </c>
      <c r="C65" s="11"/>
      <c r="D65" s="10">
        <f t="shared" si="3"/>
        <v>100</v>
      </c>
      <c r="J65" s="17">
        <f>AVERAGE(J66:J77)</f>
        <v>65.754710942569275</v>
      </c>
    </row>
    <row r="66" spans="1:10" ht="16.5" x14ac:dyDescent="0.3">
      <c r="A66" s="18"/>
      <c r="B66" s="19"/>
      <c r="C66" s="5"/>
      <c r="D66" s="19"/>
      <c r="J66" s="20">
        <v>81.912112034198387</v>
      </c>
    </row>
    <row r="67" spans="1:10" x14ac:dyDescent="0.25">
      <c r="A67" s="18"/>
      <c r="J67" s="20">
        <v>147.06140970147902</v>
      </c>
    </row>
    <row r="68" spans="1:10" ht="26.25" x14ac:dyDescent="0.25">
      <c r="A68" s="18"/>
      <c r="B68" s="1" t="s">
        <v>44</v>
      </c>
      <c r="C68" s="21">
        <f>K58</f>
        <v>0</v>
      </c>
      <c r="D68" s="21">
        <f>J58</f>
        <v>142175.48906154235</v>
      </c>
      <c r="J68" s="20">
        <v>64.583431599478416</v>
      </c>
    </row>
    <row r="69" spans="1:10" ht="38.25" x14ac:dyDescent="0.25">
      <c r="A69" s="18"/>
      <c r="B69" s="22" t="s">
        <v>45</v>
      </c>
      <c r="C69" s="23">
        <v>0.1</v>
      </c>
      <c r="D69" s="23">
        <v>0.1</v>
      </c>
      <c r="J69" s="20">
        <v>69.114147486845226</v>
      </c>
    </row>
    <row r="70" spans="1:10" ht="16.5" x14ac:dyDescent="0.25">
      <c r="A70" s="18"/>
      <c r="B70" s="22" t="s">
        <v>46</v>
      </c>
      <c r="C70" s="14">
        <f>C68*C69</f>
        <v>0</v>
      </c>
      <c r="D70" s="14">
        <f>D68*D69</f>
        <v>14217.548906154236</v>
      </c>
      <c r="J70" s="20">
        <v>67.935586052460039</v>
      </c>
    </row>
    <row r="71" spans="1:10" ht="16.5" x14ac:dyDescent="0.25">
      <c r="A71" s="18"/>
      <c r="B71" s="1" t="s">
        <v>47</v>
      </c>
      <c r="C71" s="23">
        <v>0.92500000000000004</v>
      </c>
      <c r="D71" s="23">
        <v>0.88</v>
      </c>
      <c r="J71" s="20">
        <v>58.690042783852192</v>
      </c>
    </row>
    <row r="72" spans="1:10" ht="38.25" x14ac:dyDescent="0.25">
      <c r="A72" s="18"/>
      <c r="B72" s="22" t="s">
        <v>48</v>
      </c>
      <c r="C72" s="24">
        <f>C71*C68</f>
        <v>0</v>
      </c>
      <c r="D72" s="24">
        <f>D71*D68</f>
        <v>125114.43037415727</v>
      </c>
      <c r="J72" s="20">
        <v>41.391354907140759</v>
      </c>
    </row>
    <row r="73" spans="1:10" ht="38.25" x14ac:dyDescent="0.25">
      <c r="A73" s="18"/>
      <c r="B73" s="22" t="s">
        <v>49</v>
      </c>
      <c r="C73" s="24">
        <f>C72+C70</f>
        <v>0</v>
      </c>
      <c r="D73" s="24">
        <f>D72+D70</f>
        <v>139331.9792803115</v>
      </c>
      <c r="J73" s="20">
        <v>34.967758738057853</v>
      </c>
    </row>
    <row r="74" spans="1:10" ht="26.25" x14ac:dyDescent="0.25">
      <c r="A74" s="18"/>
      <c r="B74" s="25" t="s">
        <v>50</v>
      </c>
      <c r="C74" s="26">
        <f>(C73/C75)*50</f>
        <v>0</v>
      </c>
      <c r="D74" s="26">
        <f>(D73/D75)*50</f>
        <v>3225277.2981553585</v>
      </c>
      <c r="J74" s="20">
        <v>19.050827637795845</v>
      </c>
    </row>
    <row r="75" spans="1:10" ht="16.5" x14ac:dyDescent="0.25">
      <c r="A75" s="18"/>
      <c r="B75" s="1" t="s">
        <v>51</v>
      </c>
      <c r="C75" s="12">
        <v>1.1000000000000001</v>
      </c>
      <c r="D75" s="12">
        <v>2.16</v>
      </c>
      <c r="J75" s="20">
        <v>42.043342948179976</v>
      </c>
    </row>
    <row r="76" spans="1:10" x14ac:dyDescent="0.25">
      <c r="A76" s="18"/>
      <c r="J76" s="20">
        <v>109.92851715976649</v>
      </c>
    </row>
    <row r="77" spans="1:10" x14ac:dyDescent="0.25">
      <c r="A77" s="18"/>
      <c r="J77" s="20">
        <v>52.378000261576993</v>
      </c>
    </row>
    <row r="78" spans="1:10" x14ac:dyDescent="0.25">
      <c r="A78" s="18"/>
    </row>
    <row r="79" spans="1:10" x14ac:dyDescent="0.25">
      <c r="A79" s="18"/>
    </row>
    <row r="80" spans="1:10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  <row r="86" spans="1:1" x14ac:dyDescent="0.25">
      <c r="A86" s="18"/>
    </row>
  </sheetData>
  <sortState ref="B16:B45">
    <sortCondition descending="1" ref="B16"/>
  </sortState>
  <mergeCells count="7">
    <mergeCell ref="F56:J5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topLeftCell="A43" zoomScaleNormal="100" workbookViewId="0">
      <selection activeCell="J57" sqref="J57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1" x14ac:dyDescent="0.25">
      <c r="A1" t="s">
        <v>0</v>
      </c>
    </row>
    <row r="3" spans="1:11" ht="14.45" customHeight="1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1" ht="14.1" customHeight="1" x14ac:dyDescent="0.25">
      <c r="A4" s="73"/>
      <c r="B4" s="74"/>
      <c r="C4" s="74"/>
      <c r="D4" s="73"/>
      <c r="E4" s="74"/>
      <c r="F4" s="73"/>
    </row>
    <row r="5" spans="1:11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2" si="0">0.0864*D5*E5</f>
        <v>7614.9590400000016</v>
      </c>
      <c r="I5" s="5"/>
      <c r="J5" s="6"/>
      <c r="K5" s="5"/>
    </row>
    <row r="6" spans="1:11" x14ac:dyDescent="0.25">
      <c r="A6" s="1">
        <v>2</v>
      </c>
      <c r="B6" s="2">
        <v>34129</v>
      </c>
      <c r="C6" s="1"/>
      <c r="D6" s="1">
        <v>27.6</v>
      </c>
      <c r="E6" s="3">
        <v>915</v>
      </c>
      <c r="F6" s="4">
        <f t="shared" si="0"/>
        <v>2181.9456</v>
      </c>
      <c r="I6" s="5"/>
      <c r="J6" s="6"/>
      <c r="K6" s="5"/>
    </row>
    <row r="7" spans="1:11" x14ac:dyDescent="0.25">
      <c r="A7" s="1">
        <v>3</v>
      </c>
      <c r="B7" s="2">
        <v>34285</v>
      </c>
      <c r="C7" s="1">
        <v>18.3</v>
      </c>
      <c r="D7" s="1">
        <v>23.14</v>
      </c>
      <c r="E7" s="3">
        <v>104</v>
      </c>
      <c r="F7" s="4">
        <f t="shared" si="0"/>
        <v>207.92678400000003</v>
      </c>
      <c r="I7" s="5"/>
      <c r="J7" s="6"/>
      <c r="K7" s="5"/>
    </row>
    <row r="8" spans="1:11" x14ac:dyDescent="0.25">
      <c r="A8" s="1">
        <v>4</v>
      </c>
      <c r="B8" s="2">
        <v>34224</v>
      </c>
      <c r="C8" s="1">
        <v>24.3</v>
      </c>
      <c r="D8" s="1">
        <v>17.46</v>
      </c>
      <c r="E8" s="3">
        <v>207</v>
      </c>
      <c r="F8" s="4">
        <f t="shared" si="0"/>
        <v>312.26860800000003</v>
      </c>
      <c r="I8" s="5"/>
      <c r="J8" s="6"/>
      <c r="K8" s="5"/>
    </row>
    <row r="9" spans="1:11" x14ac:dyDescent="0.25">
      <c r="A9" s="1">
        <v>5</v>
      </c>
      <c r="B9" s="2">
        <v>34312</v>
      </c>
      <c r="C9" s="1">
        <v>5</v>
      </c>
      <c r="D9" s="1">
        <v>26.99</v>
      </c>
      <c r="E9" s="3">
        <v>84</v>
      </c>
      <c r="F9" s="4">
        <f t="shared" si="0"/>
        <v>195.88262399999999</v>
      </c>
      <c r="I9" s="5"/>
      <c r="J9" s="6"/>
      <c r="K9" s="5"/>
    </row>
    <row r="10" spans="1:11" x14ac:dyDescent="0.25">
      <c r="A10" s="1">
        <v>6</v>
      </c>
      <c r="B10" s="2">
        <v>34339</v>
      </c>
      <c r="C10" s="1"/>
      <c r="D10" s="1">
        <v>30.09</v>
      </c>
      <c r="E10" s="3">
        <v>76</v>
      </c>
      <c r="F10" s="4">
        <f t="shared" si="0"/>
        <v>197.58297600000003</v>
      </c>
      <c r="I10" s="5"/>
      <c r="J10" s="6"/>
      <c r="K10" s="5"/>
    </row>
    <row r="11" spans="1:11" x14ac:dyDescent="0.25">
      <c r="A11" s="1">
        <v>7</v>
      </c>
      <c r="B11" s="2">
        <v>34493</v>
      </c>
      <c r="C11" s="1">
        <v>12.3</v>
      </c>
      <c r="D11" s="1">
        <v>19.100000000000001</v>
      </c>
      <c r="E11" s="3">
        <v>312</v>
      </c>
      <c r="F11" s="4">
        <f t="shared" si="0"/>
        <v>514.87488000000008</v>
      </c>
      <c r="I11" s="5"/>
      <c r="J11" s="6"/>
      <c r="K11" s="5"/>
    </row>
    <row r="12" spans="1:11" x14ac:dyDescent="0.25">
      <c r="A12" s="1">
        <v>8</v>
      </c>
      <c r="B12" s="2">
        <v>34527</v>
      </c>
      <c r="C12" s="1">
        <v>18.3</v>
      </c>
      <c r="D12" s="1">
        <v>3.7</v>
      </c>
      <c r="E12" s="3">
        <v>168</v>
      </c>
      <c r="F12" s="4">
        <f t="shared" si="0"/>
        <v>53.706240000000001</v>
      </c>
    </row>
    <row r="13" spans="1:11" x14ac:dyDescent="0.25">
      <c r="A13" s="1">
        <v>9</v>
      </c>
      <c r="B13" s="2">
        <v>34548</v>
      </c>
      <c r="C13" s="1"/>
      <c r="D13" s="1">
        <v>3.5</v>
      </c>
      <c r="E13" s="3">
        <v>157</v>
      </c>
      <c r="F13" s="4">
        <f>0.0864*D13*E13</f>
        <v>47.476799999999997</v>
      </c>
    </row>
    <row r="14" spans="1:11" x14ac:dyDescent="0.25">
      <c r="A14" s="1">
        <v>10</v>
      </c>
      <c r="B14" s="2" t="s">
        <v>94</v>
      </c>
      <c r="C14" s="1"/>
      <c r="D14" s="1">
        <v>12.5</v>
      </c>
      <c r="E14" s="59">
        <v>481.48148148148147</v>
      </c>
      <c r="F14" s="4">
        <f t="shared" ref="F14:F20" si="1">0.0864*D14*E14</f>
        <v>520</v>
      </c>
    </row>
    <row r="15" spans="1:11" x14ac:dyDescent="0.25">
      <c r="A15" s="1">
        <v>11</v>
      </c>
      <c r="B15" s="2" t="s">
        <v>94</v>
      </c>
      <c r="C15" s="1"/>
      <c r="D15" s="1">
        <v>13.5</v>
      </c>
      <c r="E15" s="59">
        <v>188.6145404663923</v>
      </c>
      <c r="F15" s="4">
        <f t="shared" si="1"/>
        <v>220</v>
      </c>
    </row>
    <row r="16" spans="1:11" x14ac:dyDescent="0.25">
      <c r="A16" s="1">
        <v>12</v>
      </c>
      <c r="B16" s="2" t="s">
        <v>94</v>
      </c>
      <c r="C16" s="1"/>
      <c r="D16" s="1">
        <v>17</v>
      </c>
      <c r="E16" s="59">
        <v>748.91067538126356</v>
      </c>
      <c r="F16" s="4">
        <f t="shared" si="1"/>
        <v>1100</v>
      </c>
    </row>
    <row r="17" spans="1:6" x14ac:dyDescent="0.25">
      <c r="A17" s="1">
        <v>13</v>
      </c>
      <c r="B17" s="2" t="s">
        <v>94</v>
      </c>
      <c r="C17" s="1"/>
      <c r="D17" s="1">
        <v>17.2</v>
      </c>
      <c r="E17" s="59">
        <v>679.64039621016366</v>
      </c>
      <c r="F17" s="4">
        <f t="shared" si="1"/>
        <v>1010</v>
      </c>
    </row>
    <row r="18" spans="1:6" x14ac:dyDescent="0.25">
      <c r="A18" s="1">
        <v>14</v>
      </c>
      <c r="B18" s="2" t="s">
        <v>94</v>
      </c>
      <c r="C18" s="1"/>
      <c r="D18" s="1">
        <v>20.5</v>
      </c>
      <c r="E18" s="59">
        <v>304.8780487804878</v>
      </c>
      <c r="F18" s="4">
        <f t="shared" si="1"/>
        <v>540</v>
      </c>
    </row>
    <row r="19" spans="1:6" x14ac:dyDescent="0.25">
      <c r="A19" s="1">
        <v>15</v>
      </c>
      <c r="B19" s="2" t="s">
        <v>94</v>
      </c>
      <c r="C19" s="1"/>
      <c r="D19" s="1">
        <v>22</v>
      </c>
      <c r="E19" s="59">
        <v>284.09090909090907</v>
      </c>
      <c r="F19" s="4">
        <f t="shared" si="1"/>
        <v>540</v>
      </c>
    </row>
    <row r="20" spans="1:6" x14ac:dyDescent="0.25">
      <c r="A20" s="1">
        <v>16</v>
      </c>
      <c r="B20" s="2" t="s">
        <v>94</v>
      </c>
      <c r="C20" s="1"/>
      <c r="D20" s="1">
        <v>32</v>
      </c>
      <c r="E20" s="59">
        <v>1302.0833333333333</v>
      </c>
      <c r="F20" s="4">
        <f t="shared" si="1"/>
        <v>3600</v>
      </c>
    </row>
    <row r="21" spans="1:6" x14ac:dyDescent="0.25">
      <c r="A21" s="1">
        <v>17</v>
      </c>
      <c r="B21" s="2">
        <v>30388</v>
      </c>
      <c r="C21" s="1"/>
      <c r="D21" s="1">
        <v>6.88</v>
      </c>
      <c r="E21" s="3">
        <v>47</v>
      </c>
      <c r="F21" s="4">
        <f>0.0864*D21*E21</f>
        <v>27.938304000000002</v>
      </c>
    </row>
    <row r="22" spans="1:6" x14ac:dyDescent="0.25">
      <c r="A22" s="1">
        <v>18</v>
      </c>
      <c r="B22" s="2">
        <v>30388</v>
      </c>
      <c r="C22" s="1"/>
      <c r="D22" s="1">
        <v>7.11</v>
      </c>
      <c r="E22" s="3">
        <v>73</v>
      </c>
      <c r="F22" s="4">
        <f t="shared" ref="F22:F29" si="2">0.0864*D22*E22</f>
        <v>44.844192000000007</v>
      </c>
    </row>
    <row r="23" spans="1:6" x14ac:dyDescent="0.25">
      <c r="A23" s="1">
        <v>19</v>
      </c>
      <c r="B23" s="2">
        <v>30391</v>
      </c>
      <c r="C23" s="1"/>
      <c r="D23" s="1">
        <v>2.81</v>
      </c>
      <c r="E23" s="3">
        <v>43</v>
      </c>
      <c r="F23" s="4">
        <f t="shared" si="2"/>
        <v>10.439712000000002</v>
      </c>
    </row>
    <row r="24" spans="1:6" x14ac:dyDescent="0.25">
      <c r="A24" s="1">
        <v>20</v>
      </c>
      <c r="B24" s="2">
        <v>30391</v>
      </c>
      <c r="C24" s="1"/>
      <c r="D24" s="1">
        <v>2.67</v>
      </c>
      <c r="E24" s="3">
        <v>47</v>
      </c>
      <c r="F24" s="4">
        <f t="shared" si="2"/>
        <v>10.842336</v>
      </c>
    </row>
    <row r="25" spans="1:6" x14ac:dyDescent="0.25">
      <c r="A25" s="1">
        <v>21</v>
      </c>
      <c r="B25" s="2">
        <v>30150</v>
      </c>
      <c r="C25" s="1"/>
      <c r="D25" s="1">
        <v>6.88</v>
      </c>
      <c r="E25" s="3">
        <v>109</v>
      </c>
      <c r="F25" s="4">
        <f t="shared" si="2"/>
        <v>64.793088000000012</v>
      </c>
    </row>
    <row r="26" spans="1:6" x14ac:dyDescent="0.25">
      <c r="A26" s="1">
        <v>22</v>
      </c>
      <c r="B26" s="2">
        <v>30653</v>
      </c>
      <c r="C26" s="1"/>
      <c r="D26" s="1">
        <v>1.82</v>
      </c>
      <c r="E26" s="3">
        <v>28</v>
      </c>
      <c r="F26" s="4">
        <f t="shared" si="2"/>
        <v>4.4029440000000006</v>
      </c>
    </row>
    <row r="27" spans="1:6" x14ac:dyDescent="0.25">
      <c r="A27" s="1">
        <v>23</v>
      </c>
      <c r="B27" s="2">
        <v>30653</v>
      </c>
      <c r="C27" s="1"/>
      <c r="D27" s="1">
        <v>1.61</v>
      </c>
      <c r="E27" s="3">
        <v>41</v>
      </c>
      <c r="F27" s="4">
        <f t="shared" si="2"/>
        <v>5.7032639999999999</v>
      </c>
    </row>
    <row r="28" spans="1:6" x14ac:dyDescent="0.25">
      <c r="A28" s="1">
        <v>24</v>
      </c>
      <c r="B28" s="2">
        <v>30392</v>
      </c>
      <c r="C28" s="1"/>
      <c r="D28" s="1">
        <v>3.19</v>
      </c>
      <c r="E28" s="3">
        <v>50</v>
      </c>
      <c r="F28" s="4">
        <f t="shared" si="2"/>
        <v>13.780800000000001</v>
      </c>
    </row>
    <row r="29" spans="1:6" x14ac:dyDescent="0.25">
      <c r="A29" s="1">
        <v>25</v>
      </c>
      <c r="B29" s="2">
        <v>30392</v>
      </c>
      <c r="C29" s="1"/>
      <c r="D29" s="1">
        <v>3.71</v>
      </c>
      <c r="E29" s="3">
        <v>152</v>
      </c>
      <c r="F29" s="4">
        <f t="shared" si="2"/>
        <v>48.722687999999998</v>
      </c>
    </row>
    <row r="32" spans="1:6" x14ac:dyDescent="0.25">
      <c r="F32" t="s">
        <v>7</v>
      </c>
    </row>
    <row r="33" spans="1:12" x14ac:dyDescent="0.25">
      <c r="F33" t="s">
        <v>8</v>
      </c>
      <c r="J33" s="7" t="s">
        <v>52</v>
      </c>
    </row>
    <row r="34" spans="1:12" ht="49.5" x14ac:dyDescent="0.25">
      <c r="A34" s="8" t="s">
        <v>9</v>
      </c>
      <c r="B34" s="8" t="s">
        <v>10</v>
      </c>
      <c r="C34" s="8"/>
      <c r="D34" s="8" t="s">
        <v>11</v>
      </c>
      <c r="F34" s="8" t="s">
        <v>12</v>
      </c>
      <c r="G34" s="8" t="s">
        <v>13</v>
      </c>
      <c r="H34" s="8" t="s">
        <v>14</v>
      </c>
      <c r="I34" s="8" t="s">
        <v>10</v>
      </c>
      <c r="J34" s="8" t="s">
        <v>15</v>
      </c>
      <c r="K34" s="8" t="s">
        <v>16</v>
      </c>
      <c r="L34" s="8" t="s">
        <v>17</v>
      </c>
    </row>
    <row r="35" spans="1:12" ht="16.5" x14ac:dyDescent="0.3">
      <c r="A35" s="9">
        <v>1</v>
      </c>
      <c r="B35" s="10">
        <v>295.36121161481861</v>
      </c>
      <c r="C35" s="11"/>
      <c r="D35" s="10">
        <f>(A35/30)*100</f>
        <v>3.3333333333333335</v>
      </c>
      <c r="F35" s="12" t="s">
        <v>18</v>
      </c>
      <c r="G35" s="12">
        <v>0.02</v>
      </c>
      <c r="H35" s="13">
        <v>0.01</v>
      </c>
      <c r="I35" s="14">
        <f>B35</f>
        <v>295.36121161481861</v>
      </c>
      <c r="J35" s="27">
        <f>2.6637*(I35^1.721)</f>
        <v>47529.540631243988</v>
      </c>
      <c r="K35" s="27">
        <f>G35*I35*0.01</f>
        <v>5.9072242322963729E-2</v>
      </c>
      <c r="L35" s="27">
        <f>G35*J35*0.01</f>
        <v>9.5059081262487979</v>
      </c>
    </row>
    <row r="36" spans="1:12" ht="16.5" x14ac:dyDescent="0.3">
      <c r="A36" s="9">
        <v>2</v>
      </c>
      <c r="B36" s="10">
        <v>132.40882814562497</v>
      </c>
      <c r="C36" s="11"/>
      <c r="D36" s="10">
        <f t="shared" ref="D36:D64" si="3">(A36/30)*100</f>
        <v>6.666666666666667</v>
      </c>
      <c r="F36" s="12" t="s">
        <v>19</v>
      </c>
      <c r="G36" s="12">
        <v>0.08</v>
      </c>
      <c r="H36" s="13">
        <v>0.06</v>
      </c>
      <c r="I36" s="14">
        <f>B35</f>
        <v>295.36121161481861</v>
      </c>
      <c r="J36" s="27">
        <f t="shared" ref="J36:J54" si="4">2.6637*(I36^1.721)</f>
        <v>47529.540631243988</v>
      </c>
      <c r="K36" s="27">
        <f t="shared" ref="K36:K54" si="5">G36*I36*0.01</f>
        <v>0.23628896929185492</v>
      </c>
      <c r="L36" s="27">
        <f t="shared" ref="L36:L54" si="6">G36*J36*0.01</f>
        <v>38.023632504995192</v>
      </c>
    </row>
    <row r="37" spans="1:12" ht="16.5" x14ac:dyDescent="0.3">
      <c r="A37" s="9">
        <v>3</v>
      </c>
      <c r="B37" s="10">
        <v>88.438708582333092</v>
      </c>
      <c r="C37" s="11"/>
      <c r="D37" s="10">
        <f t="shared" si="3"/>
        <v>10</v>
      </c>
      <c r="F37" s="12" t="s">
        <v>20</v>
      </c>
      <c r="G37" s="12">
        <v>0.4</v>
      </c>
      <c r="H37" s="13">
        <v>0.3</v>
      </c>
      <c r="I37" s="14">
        <f>B35</f>
        <v>295.36121161481861</v>
      </c>
      <c r="J37" s="27">
        <f t="shared" si="4"/>
        <v>47529.540631243988</v>
      </c>
      <c r="K37" s="27">
        <f t="shared" si="5"/>
        <v>1.1814448464592746</v>
      </c>
      <c r="L37" s="27">
        <f t="shared" si="6"/>
        <v>190.11816252497596</v>
      </c>
    </row>
    <row r="38" spans="1:12" ht="16.5" x14ac:dyDescent="0.3">
      <c r="A38" s="9">
        <v>4</v>
      </c>
      <c r="B38" s="10">
        <v>78.545126044889997</v>
      </c>
      <c r="C38" s="11"/>
      <c r="D38" s="10">
        <f t="shared" si="3"/>
        <v>13.333333333333334</v>
      </c>
      <c r="F38" s="12" t="s">
        <v>21</v>
      </c>
      <c r="G38" s="12">
        <v>0.25</v>
      </c>
      <c r="H38" s="13">
        <v>0.63</v>
      </c>
      <c r="I38" s="14">
        <f>B35</f>
        <v>295.36121161481861</v>
      </c>
      <c r="J38" s="27">
        <f t="shared" si="4"/>
        <v>47529.540631243988</v>
      </c>
      <c r="K38" s="27">
        <f t="shared" si="5"/>
        <v>0.73840302903704658</v>
      </c>
      <c r="L38" s="27">
        <f t="shared" si="6"/>
        <v>118.82385157810997</v>
      </c>
    </row>
    <row r="39" spans="1:12" ht="16.5" x14ac:dyDescent="0.3">
      <c r="A39" s="9">
        <v>5</v>
      </c>
      <c r="B39" s="10">
        <v>70.722266766203916</v>
      </c>
      <c r="C39" s="11"/>
      <c r="D39" s="10">
        <f t="shared" si="3"/>
        <v>16.666666666666664</v>
      </c>
      <c r="F39" s="12" t="s">
        <v>22</v>
      </c>
      <c r="G39" s="12">
        <v>0.75</v>
      </c>
      <c r="H39" s="13">
        <v>1.1299999999999999</v>
      </c>
      <c r="I39" s="14">
        <f>B35</f>
        <v>295.36121161481861</v>
      </c>
      <c r="J39" s="27">
        <f t="shared" si="4"/>
        <v>47529.540631243988</v>
      </c>
      <c r="K39" s="27">
        <f t="shared" si="5"/>
        <v>2.2152090871111398</v>
      </c>
      <c r="L39" s="27">
        <f t="shared" si="6"/>
        <v>356.47155473432991</v>
      </c>
    </row>
    <row r="40" spans="1:12" ht="16.5" x14ac:dyDescent="0.3">
      <c r="A40" s="9">
        <v>6</v>
      </c>
      <c r="B40" s="10">
        <v>67.326848630840757</v>
      </c>
      <c r="C40" s="11"/>
      <c r="D40" s="10">
        <f t="shared" si="3"/>
        <v>20</v>
      </c>
      <c r="F40" s="12" t="s">
        <v>23</v>
      </c>
      <c r="G40" s="12">
        <v>3.5</v>
      </c>
      <c r="H40" s="13">
        <v>3.25</v>
      </c>
      <c r="I40" s="14">
        <f>B35</f>
        <v>295.36121161481861</v>
      </c>
      <c r="J40" s="27">
        <f t="shared" si="4"/>
        <v>47529.540631243988</v>
      </c>
      <c r="K40" s="27">
        <f t="shared" si="5"/>
        <v>10.337642406518651</v>
      </c>
      <c r="L40" s="27">
        <f t="shared" si="6"/>
        <v>1663.5339220935398</v>
      </c>
    </row>
    <row r="41" spans="1:12" ht="16.5" x14ac:dyDescent="0.3">
      <c r="A41" s="9">
        <v>7</v>
      </c>
      <c r="B41" s="10">
        <v>67.326848630840757</v>
      </c>
      <c r="C41" s="11"/>
      <c r="D41" s="10">
        <f t="shared" si="3"/>
        <v>23.333333333333332</v>
      </c>
      <c r="F41" s="12" t="s">
        <v>24</v>
      </c>
      <c r="G41" s="12">
        <v>10</v>
      </c>
      <c r="H41" s="13">
        <v>10</v>
      </c>
      <c r="I41" s="14">
        <f>B37</f>
        <v>88.438708582333092</v>
      </c>
      <c r="J41" s="27">
        <f t="shared" si="4"/>
        <v>5965.6376048747652</v>
      </c>
      <c r="K41" s="27">
        <f t="shared" si="5"/>
        <v>8.8438708582333092</v>
      </c>
      <c r="L41" s="27">
        <f t="shared" si="6"/>
        <v>596.56376048747654</v>
      </c>
    </row>
    <row r="42" spans="1:12" ht="16.5" x14ac:dyDescent="0.3">
      <c r="A42" s="9">
        <v>8</v>
      </c>
      <c r="B42" s="10">
        <v>67.046206133842958</v>
      </c>
      <c r="C42" s="11"/>
      <c r="D42" s="10">
        <f t="shared" si="3"/>
        <v>26.666666666666668</v>
      </c>
      <c r="F42" s="12" t="s">
        <v>25</v>
      </c>
      <c r="G42" s="12">
        <v>10</v>
      </c>
      <c r="H42" s="13">
        <v>20</v>
      </c>
      <c r="I42" s="14">
        <f>B40</f>
        <v>67.326848630840757</v>
      </c>
      <c r="J42" s="27">
        <f t="shared" si="4"/>
        <v>3730.7603499250336</v>
      </c>
      <c r="K42" s="27">
        <f t="shared" si="5"/>
        <v>6.7326848630840752</v>
      </c>
      <c r="L42" s="27">
        <f t="shared" si="6"/>
        <v>373.07603499250337</v>
      </c>
    </row>
    <row r="43" spans="1:12" ht="16.5" x14ac:dyDescent="0.3">
      <c r="A43" s="9">
        <v>9</v>
      </c>
      <c r="B43" s="10">
        <v>66.485995477302723</v>
      </c>
      <c r="C43" s="11"/>
      <c r="D43" s="10">
        <f t="shared" si="3"/>
        <v>30</v>
      </c>
      <c r="F43" s="12" t="s">
        <v>26</v>
      </c>
      <c r="G43" s="12">
        <v>10</v>
      </c>
      <c r="H43" s="13">
        <v>30</v>
      </c>
      <c r="I43" s="14">
        <f>B43</f>
        <v>66.485995477302723</v>
      </c>
      <c r="J43" s="27">
        <f t="shared" si="4"/>
        <v>3650.9336728510257</v>
      </c>
      <c r="K43" s="27">
        <f t="shared" si="5"/>
        <v>6.6485995477302717</v>
      </c>
      <c r="L43" s="27">
        <f t="shared" si="6"/>
        <v>365.0933672851026</v>
      </c>
    </row>
    <row r="44" spans="1:12" ht="16.5" x14ac:dyDescent="0.3">
      <c r="A44" s="9">
        <v>10</v>
      </c>
      <c r="B44" s="10">
        <v>64.814000667957473</v>
      </c>
      <c r="C44" s="11"/>
      <c r="D44" s="10">
        <f t="shared" si="3"/>
        <v>33.333333333333329</v>
      </c>
      <c r="F44" s="12" t="s">
        <v>27</v>
      </c>
      <c r="G44" s="12">
        <v>10</v>
      </c>
      <c r="H44" s="13">
        <v>40</v>
      </c>
      <c r="I44" s="14">
        <f>B46</f>
        <v>60.419541867875886</v>
      </c>
      <c r="J44" s="27">
        <f t="shared" si="4"/>
        <v>3096.6467364264449</v>
      </c>
      <c r="K44" s="27">
        <f t="shared" si="5"/>
        <v>6.0419541867875886</v>
      </c>
      <c r="L44" s="27">
        <f t="shared" si="6"/>
        <v>309.66467364264452</v>
      </c>
    </row>
    <row r="45" spans="1:12" ht="16.5" x14ac:dyDescent="0.3">
      <c r="A45" s="9">
        <v>11</v>
      </c>
      <c r="B45" s="10">
        <v>62.330530781149662</v>
      </c>
      <c r="C45" s="11"/>
      <c r="D45" s="10">
        <f t="shared" si="3"/>
        <v>36.666666666666664</v>
      </c>
      <c r="F45" s="12" t="s">
        <v>28</v>
      </c>
      <c r="G45" s="12">
        <v>10</v>
      </c>
      <c r="H45" s="13">
        <v>50</v>
      </c>
      <c r="I45" s="14">
        <f>B49</f>
        <v>58.257932753454639</v>
      </c>
      <c r="J45" s="27">
        <f t="shared" si="4"/>
        <v>2908.4485526575586</v>
      </c>
      <c r="K45" s="27">
        <f t="shared" si="5"/>
        <v>5.8257932753454638</v>
      </c>
      <c r="L45" s="27">
        <f t="shared" si="6"/>
        <v>290.84485526575588</v>
      </c>
    </row>
    <row r="46" spans="1:12" ht="16.5" x14ac:dyDescent="0.3">
      <c r="A46" s="9">
        <v>12</v>
      </c>
      <c r="B46" s="10">
        <v>60.419541867875886</v>
      </c>
      <c r="C46" s="11"/>
      <c r="D46" s="10">
        <f t="shared" si="3"/>
        <v>40</v>
      </c>
      <c r="F46" s="12" t="s">
        <v>29</v>
      </c>
      <c r="G46" s="12">
        <v>10</v>
      </c>
      <c r="H46" s="13">
        <v>60</v>
      </c>
      <c r="I46" s="14">
        <f>B52</f>
        <v>56.120521223297857</v>
      </c>
      <c r="J46" s="27">
        <f t="shared" si="4"/>
        <v>2727.2424577667975</v>
      </c>
      <c r="K46" s="27">
        <f t="shared" si="5"/>
        <v>5.6120521223297848</v>
      </c>
      <c r="L46" s="27">
        <f t="shared" si="6"/>
        <v>272.72424577667977</v>
      </c>
    </row>
    <row r="47" spans="1:12" ht="16.5" x14ac:dyDescent="0.3">
      <c r="A47" s="9">
        <v>13</v>
      </c>
      <c r="B47" s="10">
        <v>60.419541867875886</v>
      </c>
      <c r="C47" s="11"/>
      <c r="D47" s="10">
        <f t="shared" si="3"/>
        <v>43.333333333333336</v>
      </c>
      <c r="F47" s="12" t="s">
        <v>30</v>
      </c>
      <c r="G47" s="12">
        <v>10</v>
      </c>
      <c r="H47" s="13">
        <v>70</v>
      </c>
      <c r="I47" s="14">
        <f>B55</f>
        <v>55.061</v>
      </c>
      <c r="J47" s="27">
        <f t="shared" si="4"/>
        <v>2639.2346089680527</v>
      </c>
      <c r="K47" s="27">
        <f t="shared" si="5"/>
        <v>5.5061</v>
      </c>
      <c r="L47" s="27">
        <f t="shared" si="6"/>
        <v>263.9234608968053</v>
      </c>
    </row>
    <row r="48" spans="1:12" ht="16.5" x14ac:dyDescent="0.3">
      <c r="A48" s="9">
        <v>14</v>
      </c>
      <c r="B48" s="10">
        <v>59.065719144021514</v>
      </c>
      <c r="C48" s="11"/>
      <c r="D48" s="10">
        <f t="shared" si="3"/>
        <v>46.666666666666664</v>
      </c>
      <c r="F48" s="12" t="s">
        <v>31</v>
      </c>
      <c r="G48" s="12">
        <v>10</v>
      </c>
      <c r="H48" s="13">
        <v>80</v>
      </c>
      <c r="I48" s="14">
        <f>B58</f>
        <v>48.835403251397587</v>
      </c>
      <c r="J48" s="27">
        <f t="shared" si="4"/>
        <v>2146.8310304341621</v>
      </c>
      <c r="K48" s="27">
        <f t="shared" si="5"/>
        <v>4.8835403251397587</v>
      </c>
      <c r="L48" s="27">
        <f t="shared" si="6"/>
        <v>214.6831030434162</v>
      </c>
    </row>
    <row r="49" spans="1:12" ht="16.5" x14ac:dyDescent="0.3">
      <c r="A49" s="9">
        <v>15</v>
      </c>
      <c r="B49" s="10">
        <v>58.257932753454639</v>
      </c>
      <c r="C49" s="11"/>
      <c r="D49" s="10">
        <f t="shared" si="3"/>
        <v>50</v>
      </c>
      <c r="F49" s="12" t="s">
        <v>32</v>
      </c>
      <c r="G49" s="12">
        <v>10</v>
      </c>
      <c r="H49" s="13">
        <v>90</v>
      </c>
      <c r="I49" s="14">
        <f>B61</f>
        <v>38.509530862379115</v>
      </c>
      <c r="J49" s="27">
        <f t="shared" si="4"/>
        <v>1426.4226651657943</v>
      </c>
      <c r="K49" s="27">
        <f t="shared" si="5"/>
        <v>3.8509530862379115</v>
      </c>
      <c r="L49" s="27">
        <f t="shared" si="6"/>
        <v>142.64226651657944</v>
      </c>
    </row>
    <row r="50" spans="1:12" ht="16.5" x14ac:dyDescent="0.3">
      <c r="A50" s="9">
        <v>16</v>
      </c>
      <c r="B50" s="10">
        <v>56.652586401183363</v>
      </c>
      <c r="C50" s="11"/>
      <c r="D50" s="10">
        <f t="shared" si="3"/>
        <v>53.333333333333336</v>
      </c>
      <c r="F50" s="12" t="s">
        <v>33</v>
      </c>
      <c r="G50" s="12">
        <v>3.5</v>
      </c>
      <c r="H50" s="13">
        <v>96.75</v>
      </c>
      <c r="I50" s="14">
        <f>$B$64</f>
        <v>33.636039859005081</v>
      </c>
      <c r="J50" s="27">
        <f t="shared" si="4"/>
        <v>1130.098951800062</v>
      </c>
      <c r="K50" s="27">
        <f t="shared" si="5"/>
        <v>1.1772613950651778</v>
      </c>
      <c r="L50" s="27">
        <f t="shared" si="6"/>
        <v>39.553463313002169</v>
      </c>
    </row>
    <row r="51" spans="1:12" ht="16.5" x14ac:dyDescent="0.3">
      <c r="A51" s="9">
        <v>17</v>
      </c>
      <c r="B51" s="10">
        <v>56.652586401183363</v>
      </c>
      <c r="C51" s="11"/>
      <c r="D51" s="10">
        <f t="shared" si="3"/>
        <v>56.666666666666664</v>
      </c>
      <c r="F51" s="12" t="s">
        <v>34</v>
      </c>
      <c r="G51" s="12">
        <v>1</v>
      </c>
      <c r="H51" s="13">
        <v>99</v>
      </c>
      <c r="I51" s="14">
        <f t="shared" ref="I51:I54" si="7">$B$64</f>
        <v>33.636039859005081</v>
      </c>
      <c r="J51" s="27">
        <f t="shared" si="4"/>
        <v>1130.098951800062</v>
      </c>
      <c r="K51" s="27">
        <f t="shared" si="5"/>
        <v>0.33636039859005079</v>
      </c>
      <c r="L51" s="27">
        <f t="shared" si="6"/>
        <v>11.30098951800062</v>
      </c>
    </row>
    <row r="52" spans="1:12" ht="16.5" x14ac:dyDescent="0.3">
      <c r="A52" s="9">
        <v>18</v>
      </c>
      <c r="B52" s="10">
        <v>56.120521223297857</v>
      </c>
      <c r="C52" s="11"/>
      <c r="D52" s="10">
        <f t="shared" si="3"/>
        <v>60</v>
      </c>
      <c r="F52" s="12" t="s">
        <v>35</v>
      </c>
      <c r="G52" s="12">
        <v>0.4</v>
      </c>
      <c r="H52" s="13">
        <v>99.7</v>
      </c>
      <c r="I52" s="14">
        <f t="shared" si="7"/>
        <v>33.636039859005081</v>
      </c>
      <c r="J52" s="27">
        <f t="shared" si="4"/>
        <v>1130.098951800062</v>
      </c>
      <c r="K52" s="27">
        <f t="shared" si="5"/>
        <v>0.13454415943602033</v>
      </c>
      <c r="L52" s="27">
        <f t="shared" si="6"/>
        <v>4.5203958072002477</v>
      </c>
    </row>
    <row r="53" spans="1:12" ht="16.5" x14ac:dyDescent="0.3">
      <c r="A53" s="9">
        <v>19</v>
      </c>
      <c r="B53" s="10">
        <v>55.855063709897983</v>
      </c>
      <c r="C53" s="11"/>
      <c r="D53" s="10">
        <f t="shared" si="3"/>
        <v>63.333333333333329</v>
      </c>
      <c r="F53" s="12" t="s">
        <v>36</v>
      </c>
      <c r="G53" s="12">
        <v>0.08</v>
      </c>
      <c r="H53" s="13">
        <v>99.94</v>
      </c>
      <c r="I53" s="14">
        <f t="shared" si="7"/>
        <v>33.636039859005081</v>
      </c>
      <c r="J53" s="27">
        <f t="shared" si="4"/>
        <v>1130.098951800062</v>
      </c>
      <c r="K53" s="27">
        <f t="shared" si="5"/>
        <v>2.6908831887204065E-2</v>
      </c>
      <c r="L53" s="27">
        <f t="shared" si="6"/>
        <v>0.90407916144004963</v>
      </c>
    </row>
    <row r="54" spans="1:12" ht="16.5" x14ac:dyDescent="0.3">
      <c r="A54" s="9">
        <v>20</v>
      </c>
      <c r="B54" s="10">
        <v>55.855063709897983</v>
      </c>
      <c r="C54" s="11"/>
      <c r="D54" s="10">
        <f t="shared" si="3"/>
        <v>66.666666666666657</v>
      </c>
      <c r="F54" s="12" t="s">
        <v>37</v>
      </c>
      <c r="G54" s="12">
        <v>0.02</v>
      </c>
      <c r="H54" s="13">
        <v>99.99</v>
      </c>
      <c r="I54" s="14">
        <f t="shared" si="7"/>
        <v>33.636039859005081</v>
      </c>
      <c r="J54" s="27">
        <f t="shared" si="4"/>
        <v>1130.098951800062</v>
      </c>
      <c r="K54" s="27">
        <f t="shared" si="5"/>
        <v>6.7272079718010162E-3</v>
      </c>
      <c r="L54" s="27">
        <f t="shared" si="6"/>
        <v>0.22601979036001241</v>
      </c>
    </row>
    <row r="55" spans="1:12" ht="16.5" x14ac:dyDescent="0.3">
      <c r="A55" s="9">
        <v>21</v>
      </c>
      <c r="B55" s="10">
        <v>55.061</v>
      </c>
      <c r="C55" s="11"/>
      <c r="D55" s="10">
        <f t="shared" si="3"/>
        <v>70</v>
      </c>
      <c r="F55" s="70" t="s">
        <v>38</v>
      </c>
      <c r="G55" s="71"/>
      <c r="H55" s="71"/>
      <c r="I55" s="71"/>
      <c r="J55" s="72"/>
      <c r="K55" s="15">
        <f>SUM(K35:K54)</f>
        <v>70.395410838579338</v>
      </c>
      <c r="L55" s="27">
        <f>SUM(L35:L54)</f>
        <v>5262.1977470591646</v>
      </c>
    </row>
    <row r="56" spans="1:12" ht="16.5" x14ac:dyDescent="0.3">
      <c r="A56" s="9">
        <v>22</v>
      </c>
      <c r="B56" s="10">
        <v>53.483327280996697</v>
      </c>
      <c r="C56" s="11"/>
      <c r="D56" s="10">
        <f t="shared" si="3"/>
        <v>73.333333333333329</v>
      </c>
    </row>
    <row r="57" spans="1:12" ht="16.5" x14ac:dyDescent="0.3">
      <c r="A57" s="9">
        <v>23</v>
      </c>
      <c r="B57" s="10">
        <v>53.483327280996697</v>
      </c>
      <c r="C57" s="11"/>
      <c r="D57" s="10">
        <f t="shared" si="3"/>
        <v>76.666666666666671</v>
      </c>
      <c r="H57" t="s">
        <v>95</v>
      </c>
      <c r="J57">
        <f>L55*31</f>
        <v>163128.1301588341</v>
      </c>
    </row>
    <row r="58" spans="1:12" ht="16.5" x14ac:dyDescent="0.3">
      <c r="A58" s="9">
        <v>24</v>
      </c>
      <c r="B58" s="10">
        <v>48.835403251397587</v>
      </c>
      <c r="C58" s="11"/>
      <c r="D58" s="10">
        <f t="shared" si="3"/>
        <v>80</v>
      </c>
    </row>
    <row r="59" spans="1:12" ht="16.5" x14ac:dyDescent="0.3">
      <c r="A59" s="9">
        <v>25</v>
      </c>
      <c r="B59" s="10">
        <v>48.835403251397587</v>
      </c>
      <c r="C59" s="11"/>
      <c r="D59" s="10">
        <f t="shared" si="3"/>
        <v>83.333333333333343</v>
      </c>
      <c r="F59" t="s">
        <v>39</v>
      </c>
    </row>
    <row r="60" spans="1:12" ht="16.5" x14ac:dyDescent="0.3">
      <c r="A60" s="9">
        <v>26</v>
      </c>
      <c r="B60" s="10">
        <v>44.071757891932997</v>
      </c>
      <c r="C60" s="11"/>
      <c r="D60" s="10">
        <f t="shared" si="3"/>
        <v>86.666666666666671</v>
      </c>
      <c r="F60" t="s">
        <v>40</v>
      </c>
      <c r="G60" t="s">
        <v>41</v>
      </c>
      <c r="J60" s="16">
        <v>207500000</v>
      </c>
    </row>
    <row r="61" spans="1:12" ht="16.5" x14ac:dyDescent="0.3">
      <c r="A61" s="9">
        <v>27</v>
      </c>
      <c r="B61" s="10">
        <v>38.509530862379115</v>
      </c>
      <c r="C61" s="11"/>
      <c r="D61" s="10">
        <f t="shared" si="3"/>
        <v>90</v>
      </c>
      <c r="F61" t="s">
        <v>42</v>
      </c>
      <c r="G61" t="s">
        <v>43</v>
      </c>
      <c r="J61" s="16">
        <f>J64*365*24*60*60</f>
        <v>2073640564.2848647</v>
      </c>
    </row>
    <row r="62" spans="1:12" ht="16.5" x14ac:dyDescent="0.3">
      <c r="A62" s="9">
        <v>28</v>
      </c>
      <c r="B62" s="10">
        <v>37.801083489767478</v>
      </c>
      <c r="C62" s="11"/>
      <c r="D62" s="10">
        <f t="shared" si="3"/>
        <v>93.333333333333329</v>
      </c>
      <c r="J62">
        <f>J60/J61</f>
        <v>0.10006555792448071</v>
      </c>
    </row>
    <row r="63" spans="1:12" ht="16.5" x14ac:dyDescent="0.3">
      <c r="A63" s="9">
        <v>29</v>
      </c>
      <c r="B63" s="10">
        <v>33.636039859005081</v>
      </c>
      <c r="C63" s="11"/>
      <c r="D63" s="10">
        <f t="shared" si="3"/>
        <v>96.666666666666671</v>
      </c>
    </row>
    <row r="64" spans="1:12" ht="16.5" x14ac:dyDescent="0.3">
      <c r="A64" s="9">
        <v>30</v>
      </c>
      <c r="B64" s="10">
        <v>33.636039859005081</v>
      </c>
      <c r="C64" s="11"/>
      <c r="D64" s="10">
        <f t="shared" si="3"/>
        <v>100</v>
      </c>
      <c r="J64" s="17">
        <f>AVERAGE(J65:J76)</f>
        <v>65.754710942569275</v>
      </c>
    </row>
    <row r="65" spans="1:10" ht="16.5" x14ac:dyDescent="0.3">
      <c r="A65" s="18"/>
      <c r="B65" s="19"/>
      <c r="C65" s="5"/>
      <c r="D65" s="19"/>
      <c r="J65" s="20">
        <v>81.912112034198387</v>
      </c>
    </row>
    <row r="66" spans="1:10" x14ac:dyDescent="0.25">
      <c r="A66" s="18"/>
      <c r="J66" s="20">
        <v>147.06140970147902</v>
      </c>
    </row>
    <row r="67" spans="1:10" ht="26.25" x14ac:dyDescent="0.25">
      <c r="A67" s="18"/>
      <c r="B67" s="1" t="s">
        <v>44</v>
      </c>
      <c r="C67" s="21">
        <f>K57</f>
        <v>0</v>
      </c>
      <c r="D67" s="21">
        <f>J57</f>
        <v>163128.1301588341</v>
      </c>
      <c r="J67" s="20">
        <v>64.583431599478416</v>
      </c>
    </row>
    <row r="68" spans="1:10" ht="38.25" x14ac:dyDescent="0.25">
      <c r="A68" s="18"/>
      <c r="B68" s="22" t="s">
        <v>45</v>
      </c>
      <c r="C68" s="23">
        <v>0.1</v>
      </c>
      <c r="D68" s="23">
        <v>0.1</v>
      </c>
      <c r="J68" s="20">
        <v>69.114147486845226</v>
      </c>
    </row>
    <row r="69" spans="1:10" ht="16.5" x14ac:dyDescent="0.25">
      <c r="A69" s="18"/>
      <c r="B69" s="22" t="s">
        <v>46</v>
      </c>
      <c r="C69" s="14">
        <f>C67*C68</f>
        <v>0</v>
      </c>
      <c r="D69" s="14">
        <f>D67*D68</f>
        <v>16312.81301588341</v>
      </c>
      <c r="J69" s="20">
        <v>67.935586052460039</v>
      </c>
    </row>
    <row r="70" spans="1:10" ht="16.5" x14ac:dyDescent="0.25">
      <c r="A70" s="18"/>
      <c r="B70" s="1" t="s">
        <v>47</v>
      </c>
      <c r="C70" s="23">
        <v>0.92500000000000004</v>
      </c>
      <c r="D70" s="23">
        <v>0.88</v>
      </c>
      <c r="J70" s="20">
        <v>58.690042783852192</v>
      </c>
    </row>
    <row r="71" spans="1:10" ht="38.25" x14ac:dyDescent="0.25">
      <c r="A71" s="18"/>
      <c r="B71" s="22" t="s">
        <v>48</v>
      </c>
      <c r="C71" s="24">
        <f>C70*C67</f>
        <v>0</v>
      </c>
      <c r="D71" s="24">
        <f>D70*D67</f>
        <v>143552.754539774</v>
      </c>
      <c r="J71" s="20">
        <v>41.391354907140759</v>
      </c>
    </row>
    <row r="72" spans="1:10" ht="38.25" x14ac:dyDescent="0.25">
      <c r="A72" s="18"/>
      <c r="B72" s="22" t="s">
        <v>49</v>
      </c>
      <c r="C72" s="24">
        <f>C71+C69</f>
        <v>0</v>
      </c>
      <c r="D72" s="24">
        <f>D71+D69</f>
        <v>159865.56755565741</v>
      </c>
      <c r="J72" s="20">
        <v>34.967758738057853</v>
      </c>
    </row>
    <row r="73" spans="1:10" ht="26.25" x14ac:dyDescent="0.25">
      <c r="A73" s="18"/>
      <c r="B73" s="25" t="s">
        <v>50</v>
      </c>
      <c r="C73" s="26">
        <f>(C72/C74)*50</f>
        <v>0</v>
      </c>
      <c r="D73" s="26">
        <f>(D72/D74)*50</f>
        <v>3700591.8415661436</v>
      </c>
      <c r="J73" s="20">
        <v>19.050827637795845</v>
      </c>
    </row>
    <row r="74" spans="1:10" ht="16.5" x14ac:dyDescent="0.25">
      <c r="A74" s="18"/>
      <c r="B74" s="1" t="s">
        <v>51</v>
      </c>
      <c r="C74" s="12">
        <v>1.1000000000000001</v>
      </c>
      <c r="D74" s="12">
        <v>2.16</v>
      </c>
      <c r="J74" s="20">
        <v>42.043342948179976</v>
      </c>
    </row>
    <row r="75" spans="1:10" x14ac:dyDescent="0.25">
      <c r="A75" s="18"/>
      <c r="J75" s="20">
        <v>109.92851715976649</v>
      </c>
    </row>
    <row r="76" spans="1:10" x14ac:dyDescent="0.25">
      <c r="A76" s="18"/>
      <c r="J76" s="20">
        <v>52.378000261576993</v>
      </c>
    </row>
    <row r="77" spans="1:10" x14ac:dyDescent="0.25">
      <c r="A77" s="18"/>
    </row>
    <row r="78" spans="1:10" x14ac:dyDescent="0.25">
      <c r="A78" s="18"/>
    </row>
    <row r="79" spans="1:10" x14ac:dyDescent="0.25">
      <c r="A79" s="18"/>
    </row>
    <row r="80" spans="1:10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</sheetData>
  <sortState ref="B16:B45">
    <sortCondition descending="1" ref="B16"/>
  </sortState>
  <mergeCells count="7">
    <mergeCell ref="F55:J55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6"/>
  <sheetViews>
    <sheetView topLeftCell="E28" zoomScaleNormal="100" workbookViewId="0">
      <selection activeCell="J38" sqref="J38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88.438708582333092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88.438708582333092</v>
      </c>
      <c r="J16" s="27">
        <f>2.6637*(I16^1.721)</f>
        <v>5965.6376048747652</v>
      </c>
      <c r="K16" s="27">
        <f>G16*I16*0.01</f>
        <v>1.7687741716466619E-2</v>
      </c>
      <c r="L16" s="27">
        <f>G16*J16*0.01</f>
        <v>1.193127520974953</v>
      </c>
    </row>
    <row r="17" spans="1:12" ht="16.5" x14ac:dyDescent="0.3">
      <c r="A17" s="9">
        <v>2</v>
      </c>
      <c r="B17" s="10">
        <v>82.101290134557928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88.438708582333092</v>
      </c>
      <c r="J17" s="27">
        <f t="shared" ref="J17:J35" si="2">2.6637*(I17^1.721)</f>
        <v>5965.6376048747652</v>
      </c>
      <c r="K17" s="27">
        <f t="shared" ref="K17:K35" si="3">G17*I17*0.01</f>
        <v>7.0750966865866474E-2</v>
      </c>
      <c r="L17" s="27">
        <f t="shared" ref="L17:L35" si="4">G17*J17*0.01</f>
        <v>4.772510083899812</v>
      </c>
    </row>
    <row r="18" spans="1:12" ht="16.5" x14ac:dyDescent="0.3">
      <c r="A18" s="9">
        <v>3</v>
      </c>
      <c r="B18" s="10">
        <v>72.43896599999708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88.438708582333092</v>
      </c>
      <c r="J18" s="27">
        <f t="shared" si="2"/>
        <v>5965.6376048747652</v>
      </c>
      <c r="K18" s="27">
        <f t="shared" si="3"/>
        <v>0.35375483432933236</v>
      </c>
      <c r="L18" s="27">
        <f t="shared" si="4"/>
        <v>23.862550419499062</v>
      </c>
    </row>
    <row r="19" spans="1:12" ht="16.5" x14ac:dyDescent="0.3">
      <c r="A19" s="9">
        <v>4</v>
      </c>
      <c r="B19" s="10">
        <v>69.868642156783665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88.438708582333092</v>
      </c>
      <c r="J19" s="27">
        <f t="shared" si="2"/>
        <v>5965.6376048747652</v>
      </c>
      <c r="K19" s="27">
        <f t="shared" si="3"/>
        <v>0.22109677145583273</v>
      </c>
      <c r="L19" s="27">
        <f t="shared" si="4"/>
        <v>14.914094012186913</v>
      </c>
    </row>
    <row r="20" spans="1:12" ht="16.5" x14ac:dyDescent="0.3">
      <c r="A20" s="9">
        <v>5</v>
      </c>
      <c r="B20" s="10">
        <v>69.018187449677754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88.438708582333092</v>
      </c>
      <c r="J20" s="27">
        <f t="shared" si="2"/>
        <v>5965.6376048747652</v>
      </c>
      <c r="K20" s="27">
        <f t="shared" si="3"/>
        <v>0.66329031436749819</v>
      </c>
      <c r="L20" s="27">
        <f t="shared" si="4"/>
        <v>44.742282036560738</v>
      </c>
    </row>
    <row r="21" spans="1:12" ht="16.5" x14ac:dyDescent="0.3">
      <c r="A21" s="9">
        <v>6</v>
      </c>
      <c r="B21" s="10">
        <v>69.018187449677754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88.438708582333092</v>
      </c>
      <c r="J21" s="27">
        <f t="shared" si="2"/>
        <v>5965.6376048747652</v>
      </c>
      <c r="K21" s="27">
        <f t="shared" si="3"/>
        <v>3.0953548003816582</v>
      </c>
      <c r="L21" s="27">
        <f t="shared" si="4"/>
        <v>208.7973161706168</v>
      </c>
    </row>
    <row r="22" spans="1:12" ht="16.5" x14ac:dyDescent="0.3">
      <c r="A22" s="9">
        <v>7</v>
      </c>
      <c r="B22" s="10">
        <v>67.326848630840757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72.43896599999708</v>
      </c>
      <c r="J22" s="27">
        <f t="shared" si="2"/>
        <v>4231.5311291749122</v>
      </c>
      <c r="K22" s="27">
        <f t="shared" si="3"/>
        <v>7.243896599999708</v>
      </c>
      <c r="L22" s="27">
        <f t="shared" si="4"/>
        <v>423.15311291749123</v>
      </c>
    </row>
    <row r="23" spans="1:12" ht="16.5" x14ac:dyDescent="0.3">
      <c r="A23" s="9">
        <v>8</v>
      </c>
      <c r="B23" s="10">
        <v>65.648374151665706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69.018187449677754</v>
      </c>
      <c r="J23" s="27">
        <f t="shared" si="2"/>
        <v>3893.5125574963772</v>
      </c>
      <c r="K23" s="27">
        <f t="shared" si="3"/>
        <v>6.901818744967775</v>
      </c>
      <c r="L23" s="27">
        <f t="shared" si="4"/>
        <v>389.35125574963774</v>
      </c>
    </row>
    <row r="24" spans="1:12" ht="16.5" x14ac:dyDescent="0.3">
      <c r="A24" s="9">
        <v>9</v>
      </c>
      <c r="B24" s="10">
        <v>61.509313338745784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61.509313338745784</v>
      </c>
      <c r="J24" s="27">
        <f t="shared" si="2"/>
        <v>3193.3944274821251</v>
      </c>
      <c r="K24" s="27">
        <f t="shared" si="3"/>
        <v>6.1509313338745777</v>
      </c>
      <c r="L24" s="27">
        <f t="shared" si="4"/>
        <v>319.33944274821255</v>
      </c>
    </row>
    <row r="25" spans="1:12" ht="16.5" x14ac:dyDescent="0.3">
      <c r="A25" s="9">
        <v>10</v>
      </c>
      <c r="B25" s="10">
        <v>61.509313338745784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60.691427255056595</v>
      </c>
      <c r="J25" s="27">
        <f t="shared" si="2"/>
        <v>3120.6673798251209</v>
      </c>
      <c r="K25" s="27">
        <f t="shared" si="3"/>
        <v>6.0691427255056603</v>
      </c>
      <c r="L25" s="27">
        <f t="shared" si="4"/>
        <v>312.06673798251211</v>
      </c>
    </row>
    <row r="26" spans="1:12" ht="16.5" x14ac:dyDescent="0.3">
      <c r="A26" s="9">
        <v>11</v>
      </c>
      <c r="B26" s="10">
        <v>61.509313338745784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58.257932753454639</v>
      </c>
      <c r="J26" s="27">
        <f t="shared" si="2"/>
        <v>2908.4485526575586</v>
      </c>
      <c r="K26" s="27">
        <f t="shared" si="3"/>
        <v>5.8257932753454638</v>
      </c>
      <c r="L26" s="27">
        <f t="shared" si="4"/>
        <v>290.84485526575588</v>
      </c>
    </row>
    <row r="27" spans="1:12" ht="16.5" x14ac:dyDescent="0.3">
      <c r="A27" s="9">
        <v>12</v>
      </c>
      <c r="B27" s="10">
        <v>60.691427255056595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54.270414634484531</v>
      </c>
      <c r="J27" s="27">
        <f t="shared" si="2"/>
        <v>2574.3552298331492</v>
      </c>
      <c r="K27" s="27">
        <f t="shared" si="3"/>
        <v>5.427041463448453</v>
      </c>
      <c r="L27" s="27">
        <f t="shared" si="4"/>
        <v>257.43552298331491</v>
      </c>
    </row>
    <row r="28" spans="1:12" ht="16.5" x14ac:dyDescent="0.3">
      <c r="A28" s="9">
        <v>13</v>
      </c>
      <c r="B28" s="10">
        <v>60.691427255056595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52.699757919775742</v>
      </c>
      <c r="J28" s="27">
        <f t="shared" si="2"/>
        <v>2447.4732068606195</v>
      </c>
      <c r="K28" s="27">
        <f t="shared" si="3"/>
        <v>5.2699757919775747</v>
      </c>
      <c r="L28" s="27">
        <f t="shared" si="4"/>
        <v>244.74732068606195</v>
      </c>
    </row>
    <row r="29" spans="1:12" ht="16.5" x14ac:dyDescent="0.3">
      <c r="A29" s="9">
        <v>14</v>
      </c>
      <c r="B29" s="10">
        <v>60.691427255056595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48.835403251397587</v>
      </c>
      <c r="J29" s="27">
        <f t="shared" si="2"/>
        <v>2146.8310304341621</v>
      </c>
      <c r="K29" s="27">
        <f t="shared" si="3"/>
        <v>4.8835403251397587</v>
      </c>
      <c r="L29" s="27">
        <f t="shared" si="4"/>
        <v>214.6831030434162</v>
      </c>
    </row>
    <row r="30" spans="1:12" ht="16.5" x14ac:dyDescent="0.3">
      <c r="A30" s="9">
        <v>15</v>
      </c>
      <c r="B30" s="10">
        <v>58.257932753454639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45.062190494532963</v>
      </c>
      <c r="J30" s="27">
        <f t="shared" si="2"/>
        <v>1869.3743422508576</v>
      </c>
      <c r="K30" s="27">
        <f t="shared" si="3"/>
        <v>4.5062190494532963</v>
      </c>
      <c r="L30" s="27">
        <f t="shared" si="4"/>
        <v>186.93743422508575</v>
      </c>
    </row>
    <row r="31" spans="1:12" ht="16.5" x14ac:dyDescent="0.3">
      <c r="A31" s="9">
        <v>16</v>
      </c>
      <c r="B31" s="10">
        <v>57.453549007844892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42.111185681147511</v>
      </c>
      <c r="J31" s="27">
        <f t="shared" si="2"/>
        <v>1663.693637924936</v>
      </c>
      <c r="K31" s="27">
        <f t="shared" si="3"/>
        <v>1.473891498840163</v>
      </c>
      <c r="L31" s="27">
        <f t="shared" si="4"/>
        <v>58.229277327372756</v>
      </c>
    </row>
    <row r="32" spans="1:12" ht="16.5" x14ac:dyDescent="0.3">
      <c r="A32" s="9">
        <v>17</v>
      </c>
      <c r="B32" s="10">
        <v>57.453549007844892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42.111185681147511</v>
      </c>
      <c r="J32" s="27">
        <f t="shared" si="2"/>
        <v>1663.693637924936</v>
      </c>
      <c r="K32" s="27">
        <f t="shared" si="3"/>
        <v>0.42111185681147512</v>
      </c>
      <c r="L32" s="27">
        <f t="shared" si="4"/>
        <v>16.636936379249359</v>
      </c>
    </row>
    <row r="33" spans="1:12" ht="16.5" x14ac:dyDescent="0.3">
      <c r="A33" s="9">
        <v>18</v>
      </c>
      <c r="B33" s="10">
        <v>54.270414634484531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42.111185681147511</v>
      </c>
      <c r="J33" s="27">
        <f t="shared" si="2"/>
        <v>1663.693637924936</v>
      </c>
      <c r="K33" s="27">
        <f t="shared" si="3"/>
        <v>0.16844474272459006</v>
      </c>
      <c r="L33" s="27">
        <f t="shared" si="4"/>
        <v>6.6547745516997443</v>
      </c>
    </row>
    <row r="34" spans="1:12" ht="16.5" x14ac:dyDescent="0.3">
      <c r="A34" s="9">
        <v>19</v>
      </c>
      <c r="B34" s="10">
        <v>53.483327280996697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42.111185681147511</v>
      </c>
      <c r="J34" s="27">
        <f t="shared" si="2"/>
        <v>1663.693637924936</v>
      </c>
      <c r="K34" s="27">
        <f t="shared" si="3"/>
        <v>3.368894854491801E-2</v>
      </c>
      <c r="L34" s="27">
        <f t="shared" si="4"/>
        <v>1.3309549103399487</v>
      </c>
    </row>
    <row r="35" spans="1:12" ht="16.5" x14ac:dyDescent="0.3">
      <c r="A35" s="9">
        <v>20</v>
      </c>
      <c r="B35" s="10">
        <v>53.483327280996697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42.111185681147511</v>
      </c>
      <c r="J35" s="27">
        <f t="shared" si="2"/>
        <v>1663.693637924936</v>
      </c>
      <c r="K35" s="27">
        <f t="shared" si="3"/>
        <v>8.4222371362295025E-3</v>
      </c>
      <c r="L35" s="27">
        <f t="shared" si="4"/>
        <v>0.33273872758498718</v>
      </c>
    </row>
    <row r="36" spans="1:12" ht="16.5" x14ac:dyDescent="0.3">
      <c r="A36" s="9">
        <v>21</v>
      </c>
      <c r="B36" s="10">
        <v>52.699757919775742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58.805854022886294</v>
      </c>
      <c r="L36" s="27">
        <f>SUM(L16:L35)</f>
        <v>3020.0253477414735</v>
      </c>
    </row>
    <row r="37" spans="1:12" ht="16.5" x14ac:dyDescent="0.3">
      <c r="A37" s="9">
        <v>22</v>
      </c>
      <c r="B37" s="10">
        <v>52.699757919775742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51.143254707777515</v>
      </c>
      <c r="C38" s="11"/>
      <c r="D38" s="10">
        <f t="shared" si="1"/>
        <v>76.666666666666671</v>
      </c>
      <c r="H38" t="s">
        <v>95</v>
      </c>
      <c r="J38">
        <f>L36*30</f>
        <v>90600.760432244206</v>
      </c>
    </row>
    <row r="39" spans="1:12" ht="16.5" x14ac:dyDescent="0.3">
      <c r="A39" s="9">
        <v>24</v>
      </c>
      <c r="B39" s="10">
        <v>48.835403251397587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48.073380011360797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47.315024109970565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45.062190494532963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44.318736046526681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43.579067070737018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42.111185681147511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90600.760432244206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9060.0760432244206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79728.669180374898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88788.745223599311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2055295.028324058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6"/>
  <sheetViews>
    <sheetView topLeftCell="D34" zoomScaleNormal="100" workbookViewId="0">
      <selection activeCell="J39" sqref="J39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89.355715763561392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89.355715763561392</v>
      </c>
      <c r="J16" s="27">
        <f>2.6637*(I16^1.721)</f>
        <v>6072.4906444000981</v>
      </c>
      <c r="K16" s="27">
        <f>G16*I16*0.01</f>
        <v>1.7871143152712279E-2</v>
      </c>
      <c r="L16" s="27">
        <f>G16*J16*0.01</f>
        <v>1.2144981288800196</v>
      </c>
    </row>
    <row r="17" spans="1:12" ht="16.5" x14ac:dyDescent="0.3">
      <c r="A17" s="9">
        <v>2</v>
      </c>
      <c r="B17" s="10">
        <v>73.302011262042029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89.355715763561392</v>
      </c>
      <c r="J17" s="27">
        <f t="shared" ref="J17:J35" si="2">2.6637*(I17^1.721)</f>
        <v>6072.4906444000981</v>
      </c>
      <c r="K17" s="27">
        <f t="shared" ref="K17:K35" si="3">G17*I17*0.01</f>
        <v>7.1484572610849118E-2</v>
      </c>
      <c r="L17" s="27">
        <f t="shared" ref="L17:L35" si="4">G17*J17*0.01</f>
        <v>4.8579925155200785</v>
      </c>
    </row>
    <row r="18" spans="1:12" ht="16.5" x14ac:dyDescent="0.3">
      <c r="A18" s="9">
        <v>3</v>
      </c>
      <c r="B18" s="10">
        <v>69.868642156783665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89.355715763561392</v>
      </c>
      <c r="J18" s="27">
        <f t="shared" si="2"/>
        <v>6072.4906444000981</v>
      </c>
      <c r="K18" s="27">
        <f t="shared" si="3"/>
        <v>0.35742286305424559</v>
      </c>
      <c r="L18" s="27">
        <f t="shared" si="4"/>
        <v>24.289962577600395</v>
      </c>
    </row>
    <row r="19" spans="1:12" ht="16.5" x14ac:dyDescent="0.3">
      <c r="A19" s="9">
        <v>4</v>
      </c>
      <c r="B19" s="10">
        <v>61.509313338745784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89.355715763561392</v>
      </c>
      <c r="J19" s="27">
        <f t="shared" si="2"/>
        <v>6072.4906444000981</v>
      </c>
      <c r="K19" s="27">
        <f t="shared" si="3"/>
        <v>0.22338928940890349</v>
      </c>
      <c r="L19" s="27">
        <f t="shared" si="4"/>
        <v>15.181226611000245</v>
      </c>
    </row>
    <row r="20" spans="1:12" ht="16.5" x14ac:dyDescent="0.3">
      <c r="A20" s="9">
        <v>5</v>
      </c>
      <c r="B20" s="10">
        <v>60.691427255056595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89.355715763561392</v>
      </c>
      <c r="J20" s="27">
        <f t="shared" si="2"/>
        <v>6072.4906444000981</v>
      </c>
      <c r="K20" s="27">
        <f t="shared" si="3"/>
        <v>0.67016786822671037</v>
      </c>
      <c r="L20" s="27">
        <f t="shared" si="4"/>
        <v>45.543679833000731</v>
      </c>
    </row>
    <row r="21" spans="1:12" ht="16.5" x14ac:dyDescent="0.3">
      <c r="A21" s="9">
        <v>6</v>
      </c>
      <c r="B21" s="10">
        <v>58.257932753454639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89.355715763561392</v>
      </c>
      <c r="J21" s="27">
        <f t="shared" si="2"/>
        <v>6072.4906444000981</v>
      </c>
      <c r="K21" s="27">
        <f t="shared" si="3"/>
        <v>3.1274500517246486</v>
      </c>
      <c r="L21" s="27">
        <f t="shared" si="4"/>
        <v>212.53717255400346</v>
      </c>
    </row>
    <row r="22" spans="1:12" ht="16.5" x14ac:dyDescent="0.3">
      <c r="A22" s="9">
        <v>7</v>
      </c>
      <c r="B22" s="10">
        <v>54.270414634484531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69.868642156783665</v>
      </c>
      <c r="J22" s="27">
        <f t="shared" si="2"/>
        <v>3976.4465980576274</v>
      </c>
      <c r="K22" s="27">
        <f t="shared" si="3"/>
        <v>6.9868642156783665</v>
      </c>
      <c r="L22" s="27">
        <f t="shared" si="4"/>
        <v>397.64465980576273</v>
      </c>
    </row>
    <row r="23" spans="1:12" ht="16.5" x14ac:dyDescent="0.3">
      <c r="A23" s="9">
        <v>8</v>
      </c>
      <c r="B23" s="10">
        <v>53.483327280996697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58.257932753454639</v>
      </c>
      <c r="J23" s="27">
        <f t="shared" si="2"/>
        <v>2908.4485526575586</v>
      </c>
      <c r="K23" s="27">
        <f t="shared" si="3"/>
        <v>5.8257932753454638</v>
      </c>
      <c r="L23" s="27">
        <f t="shared" si="4"/>
        <v>290.84485526575588</v>
      </c>
    </row>
    <row r="24" spans="1:12" ht="16.5" x14ac:dyDescent="0.3">
      <c r="A24" s="9">
        <v>9</v>
      </c>
      <c r="B24" s="10">
        <v>52.699757919775742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52.699757919775742</v>
      </c>
      <c r="J24" s="27">
        <f t="shared" si="2"/>
        <v>2447.4732068606195</v>
      </c>
      <c r="K24" s="27">
        <f t="shared" si="3"/>
        <v>5.2699757919775747</v>
      </c>
      <c r="L24" s="27">
        <f t="shared" si="4"/>
        <v>244.74732068606195</v>
      </c>
    </row>
    <row r="25" spans="1:12" ht="16.5" x14ac:dyDescent="0.3">
      <c r="A25" s="9">
        <v>10</v>
      </c>
      <c r="B25" s="10">
        <v>52.699757919775742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48.835403251397587</v>
      </c>
      <c r="J25" s="27">
        <f t="shared" si="2"/>
        <v>2146.8310304341621</v>
      </c>
      <c r="K25" s="27">
        <f t="shared" si="3"/>
        <v>4.8835403251397587</v>
      </c>
      <c r="L25" s="27">
        <f t="shared" si="4"/>
        <v>214.6831030434162</v>
      </c>
    </row>
    <row r="26" spans="1:12" ht="16.5" x14ac:dyDescent="0.3">
      <c r="A26" s="9">
        <v>11</v>
      </c>
      <c r="B26" s="10">
        <v>49.601071412958376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46.560358352240591</v>
      </c>
      <c r="J26" s="27">
        <f t="shared" si="2"/>
        <v>1977.6133605050795</v>
      </c>
      <c r="K26" s="27">
        <f t="shared" si="3"/>
        <v>4.6560358352240589</v>
      </c>
      <c r="L26" s="27">
        <f t="shared" si="4"/>
        <v>197.76133605050796</v>
      </c>
    </row>
    <row r="27" spans="1:12" ht="16.5" x14ac:dyDescent="0.3">
      <c r="A27" s="9">
        <v>12</v>
      </c>
      <c r="B27" s="10">
        <v>48.835403251397587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30.943236433744353</v>
      </c>
      <c r="J27" s="27">
        <f t="shared" si="2"/>
        <v>978.92392288625717</v>
      </c>
      <c r="K27" s="27">
        <f t="shared" si="3"/>
        <v>3.0943236433744352</v>
      </c>
      <c r="L27" s="27">
        <f t="shared" si="4"/>
        <v>97.892392288625729</v>
      </c>
    </row>
    <row r="28" spans="1:12" ht="16.5" x14ac:dyDescent="0.3">
      <c r="A28" s="9">
        <v>13</v>
      </c>
      <c r="B28" s="10">
        <v>48.073380011360797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28.32012365585852</v>
      </c>
      <c r="J28" s="27">
        <f t="shared" si="2"/>
        <v>840.50646014688812</v>
      </c>
      <c r="K28" s="27">
        <f t="shared" si="3"/>
        <v>2.832012365585852</v>
      </c>
      <c r="L28" s="27">
        <f t="shared" si="4"/>
        <v>84.050646014688809</v>
      </c>
    </row>
    <row r="29" spans="1:12" ht="16.5" x14ac:dyDescent="0.3">
      <c r="A29" s="9">
        <v>14</v>
      </c>
      <c r="B29" s="10">
        <v>47.315024109970565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19.725873958504994</v>
      </c>
      <c r="J29" s="27">
        <f t="shared" si="2"/>
        <v>451.06871182782226</v>
      </c>
      <c r="K29" s="27">
        <f t="shared" si="3"/>
        <v>1.9725873958504994</v>
      </c>
      <c r="L29" s="27">
        <f t="shared" si="4"/>
        <v>45.106871182782228</v>
      </c>
    </row>
    <row r="30" spans="1:12" ht="16.5" x14ac:dyDescent="0.3">
      <c r="A30" s="9">
        <v>15</v>
      </c>
      <c r="B30" s="10">
        <v>46.560358352240591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18.011613304995592</v>
      </c>
      <c r="J30" s="27">
        <f t="shared" si="2"/>
        <v>385.73705474625808</v>
      </c>
      <c r="K30" s="27">
        <f t="shared" si="3"/>
        <v>1.8011613304995593</v>
      </c>
      <c r="L30" s="27">
        <f t="shared" si="4"/>
        <v>38.573705474625811</v>
      </c>
    </row>
    <row r="31" spans="1:12" ht="16.5" x14ac:dyDescent="0.3">
      <c r="A31" s="9">
        <v>16</v>
      </c>
      <c r="B31" s="10">
        <v>43.579067070737018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15.263005631624795</v>
      </c>
      <c r="J31" s="27">
        <f t="shared" si="2"/>
        <v>290.08806534637108</v>
      </c>
      <c r="K31" s="27">
        <f t="shared" si="3"/>
        <v>0.53420519710686787</v>
      </c>
      <c r="L31" s="27">
        <f t="shared" si="4"/>
        <v>10.153082287122988</v>
      </c>
    </row>
    <row r="32" spans="1:12" ht="16.5" x14ac:dyDescent="0.3">
      <c r="A32" s="9">
        <v>17</v>
      </c>
      <c r="B32" s="10">
        <v>35.700026569840659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15.263005631624795</v>
      </c>
      <c r="J32" s="27">
        <f t="shared" si="2"/>
        <v>290.08806534637108</v>
      </c>
      <c r="K32" s="27">
        <f t="shared" si="3"/>
        <v>0.15263005631624796</v>
      </c>
      <c r="L32" s="27">
        <f t="shared" si="4"/>
        <v>2.900880653463711</v>
      </c>
    </row>
    <row r="33" spans="1:12" ht="16.5" x14ac:dyDescent="0.3">
      <c r="A33" s="9">
        <v>18</v>
      </c>
      <c r="B33" s="10">
        <v>30.943236433744353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15.263005631624795</v>
      </c>
      <c r="J33" s="27">
        <f t="shared" si="2"/>
        <v>290.08806534637108</v>
      </c>
      <c r="K33" s="27">
        <f t="shared" si="3"/>
        <v>6.1052022526499182E-2</v>
      </c>
      <c r="L33" s="27">
        <f t="shared" si="4"/>
        <v>1.1603522613854844</v>
      </c>
    </row>
    <row r="34" spans="1:12" ht="16.5" x14ac:dyDescent="0.3">
      <c r="A34" s="9">
        <v>19</v>
      </c>
      <c r="B34" s="10">
        <v>30.280832987748227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15.263005631624795</v>
      </c>
      <c r="J34" s="27">
        <f t="shared" si="2"/>
        <v>290.08806534637108</v>
      </c>
      <c r="K34" s="27">
        <f t="shared" si="3"/>
        <v>1.2210404505299838E-2</v>
      </c>
      <c r="L34" s="27">
        <f t="shared" si="4"/>
        <v>0.23207045227709688</v>
      </c>
    </row>
    <row r="35" spans="1:12" ht="16.5" x14ac:dyDescent="0.3">
      <c r="A35" s="9">
        <v>20</v>
      </c>
      <c r="B35" s="10">
        <v>28.96923836238026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15.263005631624795</v>
      </c>
      <c r="J35" s="27">
        <f t="shared" si="2"/>
        <v>290.08806534637108</v>
      </c>
      <c r="K35" s="27">
        <f t="shared" si="3"/>
        <v>3.0526011263249594E-3</v>
      </c>
      <c r="L35" s="27">
        <f t="shared" si="4"/>
        <v>5.8017613069274221E-2</v>
      </c>
    </row>
    <row r="36" spans="1:12" ht="16.5" x14ac:dyDescent="0.3">
      <c r="A36" s="9">
        <v>21</v>
      </c>
      <c r="B36" s="10">
        <v>28.32012365585852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42.553230248434879</v>
      </c>
      <c r="L36" s="27">
        <f>SUM(L16:L35)</f>
        <v>1929.4338252995506</v>
      </c>
    </row>
    <row r="37" spans="1:12" ht="16.5" x14ac:dyDescent="0.3">
      <c r="A37" s="9">
        <v>22</v>
      </c>
      <c r="B37" s="10">
        <v>25.769152722970219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20.307755729609557</v>
      </c>
      <c r="C38" s="11"/>
      <c r="D38" s="10">
        <f t="shared" si="1"/>
        <v>76.666666666666671</v>
      </c>
      <c r="H38" t="s">
        <v>95</v>
      </c>
      <c r="J38">
        <f>L36*31</f>
        <v>59812.448584286067</v>
      </c>
    </row>
    <row r="39" spans="1:12" ht="16.5" x14ac:dyDescent="0.3">
      <c r="A39" s="9">
        <v>24</v>
      </c>
      <c r="B39" s="10">
        <v>19.725873958504994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19.725873958504994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18.577741355414105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18.011613304995592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15.801554869096586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15.263005631624795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15.263005631624795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59812.448584286067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5981.2448584286067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52634.95475417174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58616.199612600351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1356856.4725138969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topLeftCell="E31" zoomScaleNormal="100" workbookViewId="0">
      <selection activeCell="J39" sqref="J39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69.868642156783665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69.868642156783665</v>
      </c>
      <c r="J16" s="27">
        <f>2.6637*(I16^1.721)</f>
        <v>3976.4465980576274</v>
      </c>
      <c r="K16" s="27">
        <f>G16*I16*0.01</f>
        <v>1.3973728431356733E-2</v>
      </c>
      <c r="L16" s="27">
        <f>G16*J16*0.01</f>
        <v>0.79528931961152549</v>
      </c>
    </row>
    <row r="17" spans="1:12" ht="16.5" x14ac:dyDescent="0.3">
      <c r="A17" s="9">
        <v>2</v>
      </c>
      <c r="B17" s="10">
        <v>62.330530781149662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69.868642156783665</v>
      </c>
      <c r="J17" s="27">
        <f t="shared" ref="J17:J35" si="2">2.6637*(I17^1.721)</f>
        <v>3976.4465980576274</v>
      </c>
      <c r="K17" s="27">
        <f t="shared" ref="K17:K35" si="3">G17*I17*0.01</f>
        <v>5.5894913725426931E-2</v>
      </c>
      <c r="L17" s="27">
        <f t="shared" ref="L17:L35" si="4">G17*J17*0.01</f>
        <v>3.181157278446102</v>
      </c>
    </row>
    <row r="18" spans="1:12" ht="16.5" x14ac:dyDescent="0.3">
      <c r="A18" s="9">
        <v>3</v>
      </c>
      <c r="B18" s="10">
        <v>62.330530781149662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69.868642156783665</v>
      </c>
      <c r="J18" s="27">
        <f t="shared" si="2"/>
        <v>3976.4465980576274</v>
      </c>
      <c r="K18" s="27">
        <f t="shared" si="3"/>
        <v>0.27947456862713466</v>
      </c>
      <c r="L18" s="27">
        <f t="shared" si="4"/>
        <v>15.905786392230512</v>
      </c>
    </row>
    <row r="19" spans="1:12" ht="16.5" x14ac:dyDescent="0.3">
      <c r="A19" s="9">
        <v>4</v>
      </c>
      <c r="B19" s="10">
        <v>57.453549007844892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69.868642156783665</v>
      </c>
      <c r="J19" s="27">
        <f t="shared" si="2"/>
        <v>3976.4465980576274</v>
      </c>
      <c r="K19" s="27">
        <f t="shared" si="3"/>
        <v>0.17467160539195917</v>
      </c>
      <c r="L19" s="27">
        <f t="shared" si="4"/>
        <v>9.9411164951440689</v>
      </c>
    </row>
    <row r="20" spans="1:12" ht="16.5" x14ac:dyDescent="0.3">
      <c r="A20" s="9">
        <v>5</v>
      </c>
      <c r="B20" s="10">
        <v>56.652586401183363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69.868642156783665</v>
      </c>
      <c r="J20" s="27">
        <f t="shared" si="2"/>
        <v>3976.4465980576274</v>
      </c>
      <c r="K20" s="27">
        <f t="shared" si="3"/>
        <v>0.52401481617587753</v>
      </c>
      <c r="L20" s="27">
        <f t="shared" si="4"/>
        <v>29.823349485432203</v>
      </c>
    </row>
    <row r="21" spans="1:12" ht="16.5" x14ac:dyDescent="0.3">
      <c r="A21" s="9">
        <v>6</v>
      </c>
      <c r="B21" s="10">
        <v>55.061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69.868642156783665</v>
      </c>
      <c r="J21" s="27">
        <f t="shared" si="2"/>
        <v>3976.4465980576274</v>
      </c>
      <c r="K21" s="27">
        <f t="shared" si="3"/>
        <v>2.4454024754874282</v>
      </c>
      <c r="L21" s="27">
        <f t="shared" si="4"/>
        <v>139.17563093201696</v>
      </c>
    </row>
    <row r="22" spans="1:12" ht="16.5" x14ac:dyDescent="0.3">
      <c r="A22" s="9">
        <v>7</v>
      </c>
      <c r="B22" s="10">
        <v>53.483327280996697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62.330530781149662</v>
      </c>
      <c r="J22" s="27">
        <f t="shared" si="2"/>
        <v>3267.1225924758483</v>
      </c>
      <c r="K22" s="27">
        <f t="shared" si="3"/>
        <v>6.233053078114966</v>
      </c>
      <c r="L22" s="27">
        <f t="shared" si="4"/>
        <v>326.71225924758483</v>
      </c>
    </row>
    <row r="23" spans="1:12" ht="16.5" x14ac:dyDescent="0.3">
      <c r="A23" s="9">
        <v>8</v>
      </c>
      <c r="B23" s="10">
        <v>51.91972685189014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55.061</v>
      </c>
      <c r="J23" s="27">
        <f t="shared" si="2"/>
        <v>2639.2346089680527</v>
      </c>
      <c r="K23" s="27">
        <f t="shared" si="3"/>
        <v>5.5061</v>
      </c>
      <c r="L23" s="27">
        <f t="shared" si="4"/>
        <v>263.9234608968053</v>
      </c>
    </row>
    <row r="24" spans="1:12" ht="16.5" x14ac:dyDescent="0.3">
      <c r="A24" s="9">
        <v>9</v>
      </c>
      <c r="B24" s="10">
        <v>51.91972685189014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51.91972685189014</v>
      </c>
      <c r="J24" s="27">
        <f t="shared" si="2"/>
        <v>2385.461267562313</v>
      </c>
      <c r="K24" s="27">
        <f t="shared" si="3"/>
        <v>5.1919726851890138</v>
      </c>
      <c r="L24" s="27">
        <f t="shared" si="4"/>
        <v>238.54612675623133</v>
      </c>
    </row>
    <row r="25" spans="1:12" ht="16.5" x14ac:dyDescent="0.3">
      <c r="A25" s="9">
        <v>10</v>
      </c>
      <c r="B25" s="10">
        <v>48.835403251397587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46.560358352240591</v>
      </c>
      <c r="J25" s="27">
        <f t="shared" si="2"/>
        <v>1977.6133605050795</v>
      </c>
      <c r="K25" s="27">
        <f t="shared" si="3"/>
        <v>4.6560358352240589</v>
      </c>
      <c r="L25" s="27">
        <f t="shared" si="4"/>
        <v>197.76133605050796</v>
      </c>
    </row>
    <row r="26" spans="1:12" ht="16.5" x14ac:dyDescent="0.3">
      <c r="A26" s="9">
        <v>11</v>
      </c>
      <c r="B26" s="10">
        <v>48.835403251397587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39.938392975569506</v>
      </c>
      <c r="J26" s="27">
        <f t="shared" si="2"/>
        <v>1518.722786694738</v>
      </c>
      <c r="K26" s="27">
        <f t="shared" si="3"/>
        <v>3.993839297556951</v>
      </c>
      <c r="L26" s="27">
        <f t="shared" si="4"/>
        <v>151.87227866947381</v>
      </c>
    </row>
    <row r="27" spans="1:12" ht="16.5" x14ac:dyDescent="0.3">
      <c r="A27" s="9">
        <v>12</v>
      </c>
      <c r="B27" s="10">
        <v>46.560358352240591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23.904885371199772</v>
      </c>
      <c r="J27" s="27">
        <f t="shared" si="2"/>
        <v>627.85717560018793</v>
      </c>
      <c r="K27" s="27">
        <f t="shared" si="3"/>
        <v>2.3904885371199773</v>
      </c>
      <c r="L27" s="27">
        <f t="shared" si="4"/>
        <v>62.785717560018796</v>
      </c>
    </row>
    <row r="28" spans="1:12" ht="16.5" x14ac:dyDescent="0.3">
      <c r="A28" s="9">
        <v>13</v>
      </c>
      <c r="B28" s="10">
        <v>44.318736046526681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20.307755729609557</v>
      </c>
      <c r="J28" s="27">
        <f t="shared" si="2"/>
        <v>474.21085796484147</v>
      </c>
      <c r="K28" s="27">
        <f t="shared" si="3"/>
        <v>2.0307755729609558</v>
      </c>
      <c r="L28" s="27">
        <f t="shared" si="4"/>
        <v>47.421085796484149</v>
      </c>
    </row>
    <row r="29" spans="1:12" ht="16.5" x14ac:dyDescent="0.3">
      <c r="A29" s="9">
        <v>14</v>
      </c>
      <c r="B29" s="10">
        <v>41.383024509082503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15.263005631624795</v>
      </c>
      <c r="J29" s="27">
        <f t="shared" si="2"/>
        <v>290.08806534637108</v>
      </c>
      <c r="K29" s="27">
        <f t="shared" si="3"/>
        <v>1.5263005631624795</v>
      </c>
      <c r="L29" s="27">
        <f t="shared" si="4"/>
        <v>29.008806534637106</v>
      </c>
    </row>
    <row r="30" spans="1:12" ht="16.5" x14ac:dyDescent="0.3">
      <c r="A30" s="9">
        <v>15</v>
      </c>
      <c r="B30" s="10">
        <v>39.938392975569506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14.730192491618743</v>
      </c>
      <c r="J30" s="27">
        <f t="shared" si="2"/>
        <v>272.88018777946581</v>
      </c>
      <c r="K30" s="27">
        <f t="shared" si="3"/>
        <v>1.4730192491618743</v>
      </c>
      <c r="L30" s="27">
        <f t="shared" si="4"/>
        <v>27.288018777946583</v>
      </c>
    </row>
    <row r="31" spans="1:12" ht="16.5" x14ac:dyDescent="0.3">
      <c r="A31" s="9">
        <v>16</v>
      </c>
      <c r="B31" s="10">
        <v>37.096663783237929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10.20736329146261</v>
      </c>
      <c r="J31" s="27">
        <f t="shared" si="2"/>
        <v>145.15285028343928</v>
      </c>
      <c r="K31" s="27">
        <f t="shared" si="3"/>
        <v>0.35725771520119132</v>
      </c>
      <c r="L31" s="27">
        <f t="shared" si="4"/>
        <v>5.0803497599203746</v>
      </c>
    </row>
    <row r="32" spans="1:12" ht="16.5" x14ac:dyDescent="0.3">
      <c r="A32" s="9">
        <v>17</v>
      </c>
      <c r="B32" s="10">
        <v>25.769152722970219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10.20736329146261</v>
      </c>
      <c r="J32" s="27">
        <f t="shared" si="2"/>
        <v>145.15285028343928</v>
      </c>
      <c r="K32" s="27">
        <f t="shared" si="3"/>
        <v>0.10207363291462609</v>
      </c>
      <c r="L32" s="27">
        <f t="shared" si="4"/>
        <v>1.4515285028343927</v>
      </c>
    </row>
    <row r="33" spans="1:12" ht="16.5" x14ac:dyDescent="0.3">
      <c r="A33" s="9">
        <v>18</v>
      </c>
      <c r="B33" s="10">
        <v>23.904885371199772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10.20736329146261</v>
      </c>
      <c r="J33" s="27">
        <f t="shared" si="2"/>
        <v>145.15285028343928</v>
      </c>
      <c r="K33" s="27">
        <f t="shared" si="3"/>
        <v>4.0829453165850439E-2</v>
      </c>
      <c r="L33" s="27">
        <f t="shared" si="4"/>
        <v>0.5806114011337572</v>
      </c>
    </row>
    <row r="34" spans="1:12" ht="16.5" x14ac:dyDescent="0.3">
      <c r="A34" s="9">
        <v>19</v>
      </c>
      <c r="B34" s="10">
        <v>22.083966059070413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10.20736329146261</v>
      </c>
      <c r="J34" s="27">
        <f t="shared" si="2"/>
        <v>145.15285028343928</v>
      </c>
      <c r="K34" s="27">
        <f t="shared" si="3"/>
        <v>8.1658906331700878E-3</v>
      </c>
      <c r="L34" s="27">
        <f t="shared" si="4"/>
        <v>0.11612228022675142</v>
      </c>
    </row>
    <row r="35" spans="1:12" ht="16.5" x14ac:dyDescent="0.3">
      <c r="A35" s="9">
        <v>20</v>
      </c>
      <c r="B35" s="10">
        <v>21.486857624619542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10.20736329146261</v>
      </c>
      <c r="J35" s="27">
        <f t="shared" si="2"/>
        <v>145.15285028343928</v>
      </c>
      <c r="K35" s="27">
        <f t="shared" si="3"/>
        <v>2.041472658292522E-3</v>
      </c>
      <c r="L35" s="27">
        <f t="shared" si="4"/>
        <v>2.9030570056687854E-2</v>
      </c>
    </row>
    <row r="36" spans="1:12" ht="16.5" x14ac:dyDescent="0.3">
      <c r="A36" s="9">
        <v>21</v>
      </c>
      <c r="B36" s="10">
        <v>20.307755729609557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37.005385090902593</v>
      </c>
      <c r="L36" s="27">
        <f>SUM(L16:L35)</f>
        <v>1551.3990627067435</v>
      </c>
    </row>
    <row r="37" spans="1:12" ht="16.5" x14ac:dyDescent="0.3">
      <c r="A37" s="9">
        <v>22</v>
      </c>
      <c r="B37" s="10">
        <v>18.011613304995592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15.263005631624795</v>
      </c>
      <c r="C38" s="11"/>
      <c r="D38" s="10">
        <f t="shared" si="1"/>
        <v>76.666666666666671</v>
      </c>
      <c r="H38" t="s">
        <v>95</v>
      </c>
      <c r="J38">
        <f>L36*31</f>
        <v>48093.370943909045</v>
      </c>
    </row>
    <row r="39" spans="1:12" ht="16.5" x14ac:dyDescent="0.3">
      <c r="A39" s="9">
        <v>24</v>
      </c>
      <c r="B39" s="10">
        <v>15.263005631624795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15.263005631624795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14.730192491618743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14.730192491618743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13.166986054029078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12.657950507354535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10.20736329146261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48093.370943909045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4809.3370943909049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42322.166430639962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47131.503525030865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1091007.0260423811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6"/>
  <sheetViews>
    <sheetView topLeftCell="D31" zoomScaleNormal="100" workbookViewId="0">
      <selection activeCell="J39" sqref="J39"/>
    </sheetView>
  </sheetViews>
  <sheetFormatPr defaultRowHeight="15" x14ac:dyDescent="0.25"/>
  <cols>
    <col min="2" max="2" width="14.85546875" customWidth="1"/>
    <col min="3" max="3" width="3.7109375" hidden="1" customWidth="1"/>
    <col min="4" max="4" width="14.7109375" bestFit="1" customWidth="1"/>
    <col min="5" max="5" width="19.28515625" bestFit="1" customWidth="1"/>
    <col min="6" max="6" width="10.28515625" bestFit="1" customWidth="1"/>
    <col min="10" max="10" width="16.140625" bestFit="1" customWidth="1"/>
    <col min="11" max="11" width="10.42578125" bestFit="1" customWidth="1"/>
    <col min="12" max="12" width="12.140625" bestFit="1" customWidth="1"/>
  </cols>
  <sheetData>
    <row r="1" spans="1:12" x14ac:dyDescent="0.25">
      <c r="A1" t="s">
        <v>0</v>
      </c>
    </row>
    <row r="3" spans="1:12" x14ac:dyDescent="0.25">
      <c r="A3" s="73" t="s">
        <v>1</v>
      </c>
      <c r="B3" s="74" t="s">
        <v>2</v>
      </c>
      <c r="C3" s="74" t="s">
        <v>3</v>
      </c>
      <c r="D3" s="73" t="s">
        <v>4</v>
      </c>
      <c r="E3" s="74" t="s">
        <v>5</v>
      </c>
      <c r="F3" s="73" t="s">
        <v>6</v>
      </c>
    </row>
    <row r="4" spans="1:12" ht="14.1" customHeight="1" x14ac:dyDescent="0.25">
      <c r="A4" s="73"/>
      <c r="B4" s="74"/>
      <c r="C4" s="74"/>
      <c r="D4" s="73"/>
      <c r="E4" s="74"/>
      <c r="F4" s="73"/>
    </row>
    <row r="5" spans="1:12" x14ac:dyDescent="0.25">
      <c r="A5" s="1">
        <v>1</v>
      </c>
      <c r="B5" s="2">
        <v>34200</v>
      </c>
      <c r="C5" s="1">
        <v>12.3</v>
      </c>
      <c r="D5" s="1">
        <v>120.9</v>
      </c>
      <c r="E5" s="3">
        <v>729</v>
      </c>
      <c r="F5" s="4">
        <f t="shared" ref="F5:F11" si="0">0.0864*D5*E5</f>
        <v>7614.9590400000016</v>
      </c>
      <c r="I5" s="5"/>
      <c r="J5" s="6"/>
      <c r="K5" s="5"/>
    </row>
    <row r="6" spans="1:12" x14ac:dyDescent="0.25">
      <c r="A6" s="1">
        <v>2</v>
      </c>
      <c r="B6" s="2">
        <v>34285</v>
      </c>
      <c r="C6" s="1">
        <v>18.3</v>
      </c>
      <c r="D6" s="1">
        <v>23.14</v>
      </c>
      <c r="E6" s="3">
        <v>104</v>
      </c>
      <c r="F6" s="4">
        <f t="shared" si="0"/>
        <v>207.92678400000003</v>
      </c>
      <c r="I6" s="5"/>
      <c r="J6" s="6"/>
      <c r="K6" s="5"/>
    </row>
    <row r="7" spans="1:12" x14ac:dyDescent="0.25">
      <c r="A7" s="1">
        <v>3</v>
      </c>
      <c r="B7" s="2">
        <v>34224</v>
      </c>
      <c r="C7" s="1">
        <v>24.3</v>
      </c>
      <c r="D7" s="1">
        <v>17.46</v>
      </c>
      <c r="E7" s="3">
        <v>207</v>
      </c>
      <c r="F7" s="4">
        <f t="shared" si="0"/>
        <v>312.26860800000003</v>
      </c>
      <c r="I7" s="5"/>
      <c r="J7" s="6"/>
      <c r="K7" s="5"/>
    </row>
    <row r="8" spans="1:12" x14ac:dyDescent="0.25">
      <c r="A8" s="1">
        <v>4</v>
      </c>
      <c r="B8" s="2">
        <v>34312</v>
      </c>
      <c r="C8" s="1">
        <v>5</v>
      </c>
      <c r="D8" s="1">
        <v>26.99</v>
      </c>
      <c r="E8" s="3">
        <v>84</v>
      </c>
      <c r="F8" s="4">
        <f t="shared" si="0"/>
        <v>195.88262399999999</v>
      </c>
      <c r="I8" s="5"/>
      <c r="J8" s="6"/>
      <c r="K8" s="5"/>
    </row>
    <row r="9" spans="1:12" x14ac:dyDescent="0.25">
      <c r="A9" s="1">
        <v>5</v>
      </c>
      <c r="B9" s="2">
        <v>34493</v>
      </c>
      <c r="C9" s="1">
        <v>12.3</v>
      </c>
      <c r="D9" s="1">
        <v>19.100000000000001</v>
      </c>
      <c r="E9" s="3">
        <v>312</v>
      </c>
      <c r="F9" s="4">
        <f t="shared" si="0"/>
        <v>514.87488000000008</v>
      </c>
      <c r="I9" s="5"/>
      <c r="J9" s="6"/>
      <c r="K9" s="5"/>
    </row>
    <row r="10" spans="1:12" x14ac:dyDescent="0.25">
      <c r="A10" s="1">
        <v>6</v>
      </c>
      <c r="B10" s="2">
        <v>34527</v>
      </c>
      <c r="C10" s="1">
        <v>18.3</v>
      </c>
      <c r="D10" s="1">
        <v>3.7</v>
      </c>
      <c r="E10" s="3">
        <v>168</v>
      </c>
      <c r="F10" s="4">
        <f t="shared" si="0"/>
        <v>53.706240000000001</v>
      </c>
      <c r="I10" s="5"/>
      <c r="J10" s="6"/>
      <c r="K10" s="5"/>
    </row>
    <row r="11" spans="1:12" x14ac:dyDescent="0.25">
      <c r="A11" s="1">
        <v>7</v>
      </c>
      <c r="B11" s="2">
        <v>34548</v>
      </c>
      <c r="C11" s="1">
        <v>24.3</v>
      </c>
      <c r="D11" s="1">
        <v>3.5</v>
      </c>
      <c r="E11" s="3">
        <v>157</v>
      </c>
      <c r="F11" s="4">
        <f t="shared" si="0"/>
        <v>47.476799999999997</v>
      </c>
      <c r="I11" s="5"/>
      <c r="J11" s="6"/>
      <c r="K11" s="5"/>
    </row>
    <row r="13" spans="1:12" x14ac:dyDescent="0.25">
      <c r="F13" t="s">
        <v>7</v>
      </c>
    </row>
    <row r="14" spans="1:12" x14ac:dyDescent="0.25">
      <c r="F14" t="s">
        <v>8</v>
      </c>
      <c r="J14" s="7" t="s">
        <v>52</v>
      </c>
    </row>
    <row r="15" spans="1:12" ht="49.5" x14ac:dyDescent="0.25">
      <c r="A15" s="8" t="s">
        <v>9</v>
      </c>
      <c r="B15" s="8" t="s">
        <v>10</v>
      </c>
      <c r="C15" s="8"/>
      <c r="D15" s="8" t="s">
        <v>11</v>
      </c>
      <c r="F15" s="8" t="s">
        <v>12</v>
      </c>
      <c r="G15" s="8" t="s">
        <v>13</v>
      </c>
      <c r="H15" s="8" t="s">
        <v>14</v>
      </c>
      <c r="I15" s="8" t="s">
        <v>10</v>
      </c>
      <c r="J15" s="8" t="s">
        <v>15</v>
      </c>
      <c r="K15" s="8" t="s">
        <v>16</v>
      </c>
      <c r="L15" s="8" t="s">
        <v>17</v>
      </c>
    </row>
    <row r="16" spans="1:12" ht="16.5" x14ac:dyDescent="0.3">
      <c r="A16" s="9">
        <v>1</v>
      </c>
      <c r="B16" s="10">
        <v>61.782683188773142</v>
      </c>
      <c r="C16" s="11"/>
      <c r="D16" s="10">
        <f>(A16/30)*100</f>
        <v>3.3333333333333335</v>
      </c>
      <c r="F16" s="12" t="s">
        <v>18</v>
      </c>
      <c r="G16" s="12">
        <v>0.02</v>
      </c>
      <c r="H16" s="13">
        <v>0.01</v>
      </c>
      <c r="I16" s="14">
        <f>B16</f>
        <v>61.782683188773142</v>
      </c>
      <c r="J16" s="27">
        <f>2.6637*(I16^1.721)</f>
        <v>3217.859029176775</v>
      </c>
      <c r="K16" s="27">
        <f>G16*I16*0.01</f>
        <v>1.235653663775463E-2</v>
      </c>
      <c r="L16" s="27">
        <f>G16*J16*0.01</f>
        <v>0.643571805835355</v>
      </c>
    </row>
    <row r="17" spans="1:12" ht="16.5" x14ac:dyDescent="0.3">
      <c r="A17" s="9">
        <v>2</v>
      </c>
      <c r="B17" s="10">
        <v>56.652586401183363</v>
      </c>
      <c r="C17" s="11"/>
      <c r="D17" s="10">
        <f t="shared" ref="D17:D45" si="1">(A17/30)*100</f>
        <v>6.666666666666667</v>
      </c>
      <c r="F17" s="12" t="s">
        <v>19</v>
      </c>
      <c r="G17" s="12">
        <v>0.08</v>
      </c>
      <c r="H17" s="13">
        <v>0.06</v>
      </c>
      <c r="I17" s="14">
        <f>B16</f>
        <v>61.782683188773142</v>
      </c>
      <c r="J17" s="27">
        <f t="shared" ref="J17:J35" si="2">2.6637*(I17^1.721)</f>
        <v>3217.859029176775</v>
      </c>
      <c r="K17" s="27">
        <f t="shared" ref="K17:K35" si="3">G17*I17*0.01</f>
        <v>4.942614655101852E-2</v>
      </c>
      <c r="L17" s="27">
        <f t="shared" ref="L17:L35" si="4">G17*J17*0.01</f>
        <v>2.57428722334142</v>
      </c>
    </row>
    <row r="18" spans="1:12" ht="16.5" x14ac:dyDescent="0.3">
      <c r="A18" s="9">
        <v>3</v>
      </c>
      <c r="B18" s="10">
        <v>40.418195549537622</v>
      </c>
      <c r="C18" s="11"/>
      <c r="D18" s="10">
        <f t="shared" si="1"/>
        <v>10</v>
      </c>
      <c r="F18" s="12" t="s">
        <v>20</v>
      </c>
      <c r="G18" s="12">
        <v>0.4</v>
      </c>
      <c r="H18" s="13">
        <v>0.3</v>
      </c>
      <c r="I18" s="14">
        <f>B16</f>
        <v>61.782683188773142</v>
      </c>
      <c r="J18" s="27">
        <f t="shared" si="2"/>
        <v>3217.859029176775</v>
      </c>
      <c r="K18" s="27">
        <f t="shared" si="3"/>
        <v>0.24713073275509259</v>
      </c>
      <c r="L18" s="27">
        <f t="shared" si="4"/>
        <v>12.8714361167071</v>
      </c>
    </row>
    <row r="19" spans="1:12" ht="16.5" x14ac:dyDescent="0.3">
      <c r="A19" s="9">
        <v>4</v>
      </c>
      <c r="B19" s="10">
        <v>38.272936025051138</v>
      </c>
      <c r="C19" s="11"/>
      <c r="D19" s="10">
        <f t="shared" si="1"/>
        <v>13.333333333333334</v>
      </c>
      <c r="F19" s="12" t="s">
        <v>21</v>
      </c>
      <c r="G19" s="12">
        <v>0.25</v>
      </c>
      <c r="H19" s="13">
        <v>0.63</v>
      </c>
      <c r="I19" s="14">
        <f>B16</f>
        <v>61.782683188773142</v>
      </c>
      <c r="J19" s="27">
        <f t="shared" si="2"/>
        <v>3217.859029176775</v>
      </c>
      <c r="K19" s="27">
        <f t="shared" si="3"/>
        <v>0.15445670797193287</v>
      </c>
      <c r="L19" s="27">
        <f t="shared" si="4"/>
        <v>8.0446475729419369</v>
      </c>
    </row>
    <row r="20" spans="1:12" ht="16.5" x14ac:dyDescent="0.3">
      <c r="A20" s="9">
        <v>5</v>
      </c>
      <c r="B20" s="10">
        <v>35.700026569840659</v>
      </c>
      <c r="C20" s="11"/>
      <c r="D20" s="10">
        <f t="shared" si="1"/>
        <v>16.666666666666664</v>
      </c>
      <c r="F20" s="12" t="s">
        <v>22</v>
      </c>
      <c r="G20" s="12">
        <v>0.75</v>
      </c>
      <c r="H20" s="13">
        <v>1.1299999999999999</v>
      </c>
      <c r="I20" s="14">
        <f>B16</f>
        <v>61.782683188773142</v>
      </c>
      <c r="J20" s="27">
        <f t="shared" si="2"/>
        <v>3217.859029176775</v>
      </c>
      <c r="K20" s="27">
        <f t="shared" si="3"/>
        <v>0.46337012391579857</v>
      </c>
      <c r="L20" s="27">
        <f t="shared" si="4"/>
        <v>24.133942718825811</v>
      </c>
    </row>
    <row r="21" spans="1:12" ht="16.5" x14ac:dyDescent="0.3">
      <c r="A21" s="9">
        <v>6</v>
      </c>
      <c r="B21" s="10">
        <v>26.823122710317151</v>
      </c>
      <c r="C21" s="11"/>
      <c r="D21" s="10">
        <f t="shared" si="1"/>
        <v>20</v>
      </c>
      <c r="F21" s="12" t="s">
        <v>23</v>
      </c>
      <c r="G21" s="12">
        <v>3.5</v>
      </c>
      <c r="H21" s="13">
        <v>3.25</v>
      </c>
      <c r="I21" s="14">
        <f>B16</f>
        <v>61.782683188773142</v>
      </c>
      <c r="J21" s="27">
        <f t="shared" si="2"/>
        <v>3217.859029176775</v>
      </c>
      <c r="K21" s="27">
        <f t="shared" si="3"/>
        <v>2.1623939116070598</v>
      </c>
      <c r="L21" s="27">
        <f t="shared" si="4"/>
        <v>112.62506602118712</v>
      </c>
    </row>
    <row r="22" spans="1:12" ht="16.5" x14ac:dyDescent="0.3">
      <c r="A22" s="9">
        <v>7</v>
      </c>
      <c r="B22" s="10">
        <v>25.351190640474517</v>
      </c>
      <c r="C22" s="11"/>
      <c r="D22" s="10">
        <f t="shared" si="1"/>
        <v>23.333333333333332</v>
      </c>
      <c r="F22" s="12" t="s">
        <v>24</v>
      </c>
      <c r="G22" s="12">
        <v>10</v>
      </c>
      <c r="H22" s="13">
        <v>10</v>
      </c>
      <c r="I22" s="14">
        <f>B18</f>
        <v>40.418195549537622</v>
      </c>
      <c r="J22" s="27">
        <f t="shared" si="2"/>
        <v>1550.2587501325447</v>
      </c>
      <c r="K22" s="27">
        <f t="shared" si="3"/>
        <v>4.0418195549537623</v>
      </c>
      <c r="L22" s="27">
        <f t="shared" si="4"/>
        <v>155.02587501325448</v>
      </c>
    </row>
    <row r="23" spans="1:12" ht="16.5" x14ac:dyDescent="0.3">
      <c r="A23" s="9">
        <v>8</v>
      </c>
      <c r="B23" s="10">
        <v>22.686041124920798</v>
      </c>
      <c r="C23" s="11"/>
      <c r="D23" s="10">
        <f t="shared" si="1"/>
        <v>26.666666666666668</v>
      </c>
      <c r="F23" s="12" t="s">
        <v>25</v>
      </c>
      <c r="G23" s="12">
        <v>10</v>
      </c>
      <c r="H23" s="13">
        <v>20</v>
      </c>
      <c r="I23" s="14">
        <f>B21</f>
        <v>26.823122710317151</v>
      </c>
      <c r="J23" s="27">
        <f t="shared" si="2"/>
        <v>765.50825556522193</v>
      </c>
      <c r="K23" s="27">
        <f t="shared" si="3"/>
        <v>2.6823122710317149</v>
      </c>
      <c r="L23" s="27">
        <f t="shared" si="4"/>
        <v>76.550825556522199</v>
      </c>
    </row>
    <row r="24" spans="1:12" ht="16.5" x14ac:dyDescent="0.3">
      <c r="A24" s="9">
        <v>9</v>
      </c>
      <c r="B24" s="10">
        <v>22.284108489634054</v>
      </c>
      <c r="C24" s="11"/>
      <c r="D24" s="10">
        <f t="shared" si="1"/>
        <v>30</v>
      </c>
      <c r="F24" s="12" t="s">
        <v>26</v>
      </c>
      <c r="G24" s="12">
        <v>10</v>
      </c>
      <c r="H24" s="13">
        <v>30</v>
      </c>
      <c r="I24" s="14">
        <f>B24</f>
        <v>22.284108489634054</v>
      </c>
      <c r="J24" s="27">
        <f t="shared" si="2"/>
        <v>556.39748762956083</v>
      </c>
      <c r="K24" s="27">
        <f t="shared" si="3"/>
        <v>2.2284108489634056</v>
      </c>
      <c r="L24" s="27">
        <f t="shared" si="4"/>
        <v>55.639748762956081</v>
      </c>
    </row>
    <row r="25" spans="1:12" ht="16.5" x14ac:dyDescent="0.3">
      <c r="A25" s="9">
        <v>10</v>
      </c>
      <c r="B25" s="10">
        <v>22.083966059070413</v>
      </c>
      <c r="C25" s="11"/>
      <c r="D25" s="10">
        <f t="shared" si="1"/>
        <v>33.333333333333329</v>
      </c>
      <c r="F25" s="12" t="s">
        <v>27</v>
      </c>
      <c r="G25" s="12">
        <v>10</v>
      </c>
      <c r="H25" s="13">
        <v>40</v>
      </c>
      <c r="I25" s="14">
        <f>B27</f>
        <v>18.958115595572593</v>
      </c>
      <c r="J25" s="27">
        <f t="shared" si="2"/>
        <v>421.27995283572238</v>
      </c>
      <c r="K25" s="27">
        <f t="shared" si="3"/>
        <v>1.8958115595572593</v>
      </c>
      <c r="L25" s="27">
        <f t="shared" si="4"/>
        <v>42.12799528357224</v>
      </c>
    </row>
    <row r="26" spans="1:12" ht="16.5" x14ac:dyDescent="0.3">
      <c r="A26" s="9">
        <v>11</v>
      </c>
      <c r="B26" s="10">
        <v>19.725873958504994</v>
      </c>
      <c r="C26" s="11"/>
      <c r="D26" s="10">
        <f t="shared" si="1"/>
        <v>36.666666666666664</v>
      </c>
      <c r="F26" s="12" t="s">
        <v>28</v>
      </c>
      <c r="G26" s="12">
        <v>10</v>
      </c>
      <c r="H26" s="13">
        <v>50</v>
      </c>
      <c r="I26" s="14">
        <f>B30</f>
        <v>14.553876541662397</v>
      </c>
      <c r="J26" s="27">
        <f t="shared" si="2"/>
        <v>267.28318035563689</v>
      </c>
      <c r="K26" s="27">
        <f t="shared" si="3"/>
        <v>1.4553876541662396</v>
      </c>
      <c r="L26" s="27">
        <f t="shared" si="4"/>
        <v>26.728318035563689</v>
      </c>
    </row>
    <row r="27" spans="1:12" ht="16.5" x14ac:dyDescent="0.3">
      <c r="A27" s="9">
        <v>12</v>
      </c>
      <c r="B27" s="10">
        <v>18.958115595572593</v>
      </c>
      <c r="C27" s="11"/>
      <c r="D27" s="10">
        <f t="shared" si="1"/>
        <v>40</v>
      </c>
      <c r="F27" s="12" t="s">
        <v>29</v>
      </c>
      <c r="G27" s="12">
        <v>10</v>
      </c>
      <c r="H27" s="13">
        <v>60</v>
      </c>
      <c r="I27" s="14">
        <f>B33</f>
        <v>13.166986054029078</v>
      </c>
      <c r="J27" s="27">
        <f t="shared" si="2"/>
        <v>224.96831892899431</v>
      </c>
      <c r="K27" s="27">
        <f t="shared" si="3"/>
        <v>1.316698605402908</v>
      </c>
      <c r="L27" s="27">
        <f t="shared" si="4"/>
        <v>22.496831892899433</v>
      </c>
    </row>
    <row r="28" spans="1:12" ht="16.5" x14ac:dyDescent="0.3">
      <c r="A28" s="9">
        <v>13</v>
      </c>
      <c r="B28" s="10">
        <v>17.824095698135377</v>
      </c>
      <c r="C28" s="11"/>
      <c r="D28" s="10">
        <f t="shared" si="1"/>
        <v>43.333333333333336</v>
      </c>
      <c r="F28" s="12" t="s">
        <v>30</v>
      </c>
      <c r="G28" s="12">
        <v>10</v>
      </c>
      <c r="H28" s="13">
        <v>70</v>
      </c>
      <c r="I28" s="14">
        <f>B36</f>
        <v>10.365675056321059</v>
      </c>
      <c r="J28" s="27">
        <f t="shared" si="2"/>
        <v>149.0488960913616</v>
      </c>
      <c r="K28" s="27">
        <f t="shared" si="3"/>
        <v>1.036567505632106</v>
      </c>
      <c r="L28" s="27">
        <f t="shared" si="4"/>
        <v>14.904889609136161</v>
      </c>
    </row>
    <row r="29" spans="1:12" ht="16.5" x14ac:dyDescent="0.3">
      <c r="A29" s="9">
        <v>14</v>
      </c>
      <c r="B29" s="10">
        <v>15.982332572674297</v>
      </c>
      <c r="C29" s="11"/>
      <c r="D29" s="10">
        <f t="shared" si="1"/>
        <v>46.666666666666664</v>
      </c>
      <c r="F29" s="12" t="s">
        <v>31</v>
      </c>
      <c r="G29" s="12">
        <v>10</v>
      </c>
      <c r="H29" s="13">
        <v>80</v>
      </c>
      <c r="I29" s="14">
        <f>B39</f>
        <v>7.7790535768580575</v>
      </c>
      <c r="J29" s="27">
        <f t="shared" si="2"/>
        <v>90.943207877179148</v>
      </c>
      <c r="K29" s="27">
        <f t="shared" si="3"/>
        <v>0.77790535768580582</v>
      </c>
      <c r="L29" s="27">
        <f t="shared" si="4"/>
        <v>9.0943207877179155</v>
      </c>
    </row>
    <row r="30" spans="1:12" ht="16.5" x14ac:dyDescent="0.3">
      <c r="A30" s="9">
        <v>15</v>
      </c>
      <c r="B30" s="10">
        <v>14.553876541662397</v>
      </c>
      <c r="C30" s="11"/>
      <c r="D30" s="10">
        <f t="shared" si="1"/>
        <v>50</v>
      </c>
      <c r="F30" s="12" t="s">
        <v>32</v>
      </c>
      <c r="G30" s="12">
        <v>10</v>
      </c>
      <c r="H30" s="13">
        <v>90</v>
      </c>
      <c r="I30" s="14">
        <f>B42</f>
        <v>6.5049945117877739</v>
      </c>
      <c r="J30" s="27">
        <f t="shared" si="2"/>
        <v>66.847209864486629</v>
      </c>
      <c r="K30" s="27">
        <f t="shared" si="3"/>
        <v>0.65049945117877739</v>
      </c>
      <c r="L30" s="27">
        <f t="shared" si="4"/>
        <v>6.6847209864486627</v>
      </c>
    </row>
    <row r="31" spans="1:12" ht="16.5" x14ac:dyDescent="0.3">
      <c r="A31" s="9">
        <v>16</v>
      </c>
      <c r="B31" s="10">
        <v>14.553876541662394</v>
      </c>
      <c r="C31" s="11"/>
      <c r="D31" s="10">
        <f t="shared" si="1"/>
        <v>53.333333333333336</v>
      </c>
      <c r="F31" s="12" t="s">
        <v>33</v>
      </c>
      <c r="G31" s="12">
        <v>3.5</v>
      </c>
      <c r="H31" s="13">
        <v>96.75</v>
      </c>
      <c r="I31" s="14">
        <f>$B$45</f>
        <v>4.1791161856284322</v>
      </c>
      <c r="J31" s="27">
        <f t="shared" si="2"/>
        <v>31.215596704552819</v>
      </c>
      <c r="K31" s="27">
        <f t="shared" si="3"/>
        <v>0.14626906649699514</v>
      </c>
      <c r="L31" s="27">
        <f t="shared" si="4"/>
        <v>1.0925458846593488</v>
      </c>
    </row>
    <row r="32" spans="1:12" ht="16.5" x14ac:dyDescent="0.3">
      <c r="A32" s="9">
        <v>17</v>
      </c>
      <c r="B32" s="10">
        <v>13.68209779142132</v>
      </c>
      <c r="C32" s="11"/>
      <c r="D32" s="10">
        <f t="shared" si="1"/>
        <v>56.666666666666664</v>
      </c>
      <c r="F32" s="12" t="s">
        <v>34</v>
      </c>
      <c r="G32" s="12">
        <v>1</v>
      </c>
      <c r="H32" s="13">
        <v>99</v>
      </c>
      <c r="I32" s="14">
        <f t="shared" ref="I32:I35" si="5">$B$45</f>
        <v>4.1791161856284322</v>
      </c>
      <c r="J32" s="27">
        <f t="shared" si="2"/>
        <v>31.215596704552819</v>
      </c>
      <c r="K32" s="27">
        <f t="shared" si="3"/>
        <v>4.1791161856284322E-2</v>
      </c>
      <c r="L32" s="27">
        <f t="shared" si="4"/>
        <v>0.31215596704552823</v>
      </c>
    </row>
    <row r="33" spans="1:12" ht="16.5" x14ac:dyDescent="0.3">
      <c r="A33" s="9">
        <v>18</v>
      </c>
      <c r="B33" s="10">
        <v>13.166986054029078</v>
      </c>
      <c r="C33" s="11"/>
      <c r="D33" s="10">
        <f t="shared" si="1"/>
        <v>60</v>
      </c>
      <c r="F33" s="12" t="s">
        <v>35</v>
      </c>
      <c r="G33" s="12">
        <v>0.4</v>
      </c>
      <c r="H33" s="13">
        <v>99.7</v>
      </c>
      <c r="I33" s="14">
        <f t="shared" si="5"/>
        <v>4.1791161856284322</v>
      </c>
      <c r="J33" s="27">
        <f t="shared" si="2"/>
        <v>31.215596704552819</v>
      </c>
      <c r="K33" s="27">
        <f t="shared" si="3"/>
        <v>1.6716464742513731E-2</v>
      </c>
      <c r="L33" s="27">
        <f t="shared" si="4"/>
        <v>0.12486238681821128</v>
      </c>
    </row>
    <row r="34" spans="1:12" ht="16.5" x14ac:dyDescent="0.3">
      <c r="A34" s="9">
        <v>19</v>
      </c>
      <c r="B34" s="10">
        <v>10.845039414183919</v>
      </c>
      <c r="C34" s="11"/>
      <c r="D34" s="10">
        <f t="shared" si="1"/>
        <v>63.333333333333329</v>
      </c>
      <c r="F34" s="12" t="s">
        <v>36</v>
      </c>
      <c r="G34" s="12">
        <v>0.08</v>
      </c>
      <c r="H34" s="13">
        <v>99.94</v>
      </c>
      <c r="I34" s="14">
        <f t="shared" si="5"/>
        <v>4.1791161856284322</v>
      </c>
      <c r="J34" s="27">
        <f t="shared" si="2"/>
        <v>31.215596704552819</v>
      </c>
      <c r="K34" s="27">
        <f t="shared" si="3"/>
        <v>3.3432929485027458E-3</v>
      </c>
      <c r="L34" s="27">
        <f t="shared" si="4"/>
        <v>2.4972477363642259E-2</v>
      </c>
    </row>
    <row r="35" spans="1:12" ht="16.5" x14ac:dyDescent="0.3">
      <c r="A35" s="9">
        <v>20</v>
      </c>
      <c r="B35" s="10">
        <v>10.365675056321065</v>
      </c>
      <c r="C35" s="11"/>
      <c r="D35" s="10">
        <f t="shared" si="1"/>
        <v>66.666666666666657</v>
      </c>
      <c r="F35" s="12" t="s">
        <v>37</v>
      </c>
      <c r="G35" s="12">
        <v>0.02</v>
      </c>
      <c r="H35" s="13">
        <v>99.99</v>
      </c>
      <c r="I35" s="14">
        <f t="shared" si="5"/>
        <v>4.1791161856284322</v>
      </c>
      <c r="J35" s="27">
        <f t="shared" si="2"/>
        <v>31.215596704552819</v>
      </c>
      <c r="K35" s="27">
        <f t="shared" si="3"/>
        <v>8.3582323712568646E-4</v>
      </c>
      <c r="L35" s="27">
        <f t="shared" si="4"/>
        <v>6.2431193409105646E-3</v>
      </c>
    </row>
    <row r="36" spans="1:12" ht="16.5" x14ac:dyDescent="0.3">
      <c r="A36" s="9">
        <v>21</v>
      </c>
      <c r="B36" s="10">
        <v>10.365675056321059</v>
      </c>
      <c r="C36" s="11"/>
      <c r="D36" s="10">
        <f t="shared" si="1"/>
        <v>70</v>
      </c>
      <c r="F36" s="70" t="s">
        <v>38</v>
      </c>
      <c r="G36" s="71"/>
      <c r="H36" s="71"/>
      <c r="I36" s="71"/>
      <c r="J36" s="72"/>
      <c r="K36" s="15">
        <f>SUM(K16:K35)</f>
        <v>19.383502777292062</v>
      </c>
      <c r="L36" s="27">
        <f>SUM(L16:L35)</f>
        <v>571.70725722213729</v>
      </c>
    </row>
    <row r="37" spans="1:12" ht="16.5" x14ac:dyDescent="0.3">
      <c r="A37" s="9">
        <v>22</v>
      </c>
      <c r="B37" s="10">
        <v>8.6660259272023179</v>
      </c>
      <c r="C37" s="11"/>
      <c r="D37" s="10">
        <f t="shared" si="1"/>
        <v>73.333333333333329</v>
      </c>
    </row>
    <row r="38" spans="1:12" ht="16.5" x14ac:dyDescent="0.3">
      <c r="A38" s="9">
        <v>23</v>
      </c>
      <c r="B38" s="10">
        <v>7.9248443732891216</v>
      </c>
      <c r="C38" s="11"/>
      <c r="D38" s="10">
        <f t="shared" si="1"/>
        <v>76.666666666666671</v>
      </c>
      <c r="H38" t="s">
        <v>95</v>
      </c>
      <c r="J38">
        <f>L36*30</f>
        <v>17151.21771666412</v>
      </c>
    </row>
    <row r="39" spans="1:12" ht="16.5" x14ac:dyDescent="0.3">
      <c r="A39" s="9">
        <v>24</v>
      </c>
      <c r="B39" s="10">
        <v>7.7790535768580575</v>
      </c>
      <c r="C39" s="11"/>
      <c r="D39" s="10">
        <f t="shared" si="1"/>
        <v>80</v>
      </c>
    </row>
    <row r="40" spans="1:12" ht="16.5" x14ac:dyDescent="0.3">
      <c r="A40" s="9">
        <v>25</v>
      </c>
      <c r="B40" s="10">
        <v>7.7790535768580575</v>
      </c>
      <c r="C40" s="11"/>
      <c r="D40" s="10">
        <f t="shared" si="1"/>
        <v>83.333333333333343</v>
      </c>
      <c r="F40" t="s">
        <v>39</v>
      </c>
    </row>
    <row r="41" spans="1:12" ht="16.5" x14ac:dyDescent="0.3">
      <c r="A41" s="9">
        <v>26</v>
      </c>
      <c r="B41" s="10">
        <v>6.5049945117877739</v>
      </c>
      <c r="C41" s="11"/>
      <c r="D41" s="10">
        <f t="shared" si="1"/>
        <v>86.666666666666671</v>
      </c>
      <c r="F41" t="s">
        <v>40</v>
      </c>
      <c r="G41" t="s">
        <v>41</v>
      </c>
      <c r="J41" s="16">
        <v>207500000</v>
      </c>
    </row>
    <row r="42" spans="1:12" ht="16.5" x14ac:dyDescent="0.3">
      <c r="A42" s="9">
        <v>27</v>
      </c>
      <c r="B42" s="10">
        <v>6.5049945117877739</v>
      </c>
      <c r="C42" s="11"/>
      <c r="D42" s="10">
        <f t="shared" si="1"/>
        <v>90</v>
      </c>
      <c r="F42" t="s">
        <v>42</v>
      </c>
      <c r="G42" t="s">
        <v>43</v>
      </c>
      <c r="J42" s="16">
        <f>J45*365*24*60*60</f>
        <v>2073640564.2848647</v>
      </c>
    </row>
    <row r="43" spans="1:12" ht="16.5" x14ac:dyDescent="0.3">
      <c r="A43" s="9">
        <v>28</v>
      </c>
      <c r="B43" s="10">
        <v>5.5636043970199882</v>
      </c>
      <c r="C43" s="11"/>
      <c r="D43" s="10">
        <f t="shared" si="1"/>
        <v>93.333333333333329</v>
      </c>
      <c r="J43">
        <f>J41/J42</f>
        <v>0.10006555792448071</v>
      </c>
    </row>
    <row r="44" spans="1:12" ht="16.5" x14ac:dyDescent="0.3">
      <c r="A44" s="9">
        <v>29</v>
      </c>
      <c r="B44" s="10">
        <v>4.5446410341525478</v>
      </c>
      <c r="C44" s="11"/>
      <c r="D44" s="10">
        <f t="shared" si="1"/>
        <v>96.666666666666671</v>
      </c>
    </row>
    <row r="45" spans="1:12" ht="16.5" x14ac:dyDescent="0.3">
      <c r="A45" s="9">
        <v>30</v>
      </c>
      <c r="B45" s="10">
        <v>4.1791161856284322</v>
      </c>
      <c r="C45" s="11"/>
      <c r="D45" s="10">
        <f t="shared" si="1"/>
        <v>100</v>
      </c>
      <c r="J45" s="17">
        <f>AVERAGE(J46:J57)</f>
        <v>65.754710942569275</v>
      </c>
    </row>
    <row r="46" spans="1:12" ht="16.5" x14ac:dyDescent="0.3">
      <c r="A46" s="18"/>
      <c r="B46" s="19"/>
      <c r="C46" s="5"/>
      <c r="D46" s="19"/>
      <c r="J46" s="20">
        <v>81.912112034198387</v>
      </c>
    </row>
    <row r="47" spans="1:12" x14ac:dyDescent="0.25">
      <c r="A47" s="18"/>
      <c r="J47" s="20">
        <v>147.06140970147902</v>
      </c>
    </row>
    <row r="48" spans="1:12" ht="26.25" x14ac:dyDescent="0.25">
      <c r="A48" s="18"/>
      <c r="B48" s="1" t="s">
        <v>44</v>
      </c>
      <c r="C48" s="21">
        <f>K38</f>
        <v>0</v>
      </c>
      <c r="D48" s="21">
        <f>J38</f>
        <v>17151.21771666412</v>
      </c>
      <c r="J48" s="20">
        <v>64.583431599478416</v>
      </c>
    </row>
    <row r="49" spans="1:10" ht="38.25" x14ac:dyDescent="0.25">
      <c r="A49" s="18"/>
      <c r="B49" s="22" t="s">
        <v>45</v>
      </c>
      <c r="C49" s="23">
        <v>0.1</v>
      </c>
      <c r="D49" s="23">
        <v>0.1</v>
      </c>
      <c r="J49" s="20">
        <v>69.114147486845226</v>
      </c>
    </row>
    <row r="50" spans="1:10" ht="16.5" x14ac:dyDescent="0.25">
      <c r="A50" s="18"/>
      <c r="B50" s="22" t="s">
        <v>46</v>
      </c>
      <c r="C50" s="14">
        <f>C48*C49</f>
        <v>0</v>
      </c>
      <c r="D50" s="14">
        <f>D48*D49</f>
        <v>1715.1217716664121</v>
      </c>
      <c r="J50" s="20">
        <v>67.935586052460039</v>
      </c>
    </row>
    <row r="51" spans="1:10" ht="16.5" x14ac:dyDescent="0.25">
      <c r="A51" s="18"/>
      <c r="B51" s="1" t="s">
        <v>47</v>
      </c>
      <c r="C51" s="23">
        <v>0.92500000000000004</v>
      </c>
      <c r="D51" s="23">
        <v>0.88</v>
      </c>
      <c r="J51" s="20">
        <v>58.690042783852192</v>
      </c>
    </row>
    <row r="52" spans="1:10" ht="38.25" x14ac:dyDescent="0.25">
      <c r="A52" s="18"/>
      <c r="B52" s="22" t="s">
        <v>48</v>
      </c>
      <c r="C52" s="24">
        <f>C51*C48</f>
        <v>0</v>
      </c>
      <c r="D52" s="24">
        <f>D51*D48</f>
        <v>15093.071590664425</v>
      </c>
      <c r="J52" s="20">
        <v>41.391354907140759</v>
      </c>
    </row>
    <row r="53" spans="1:10" ht="38.25" x14ac:dyDescent="0.25">
      <c r="A53" s="18"/>
      <c r="B53" s="22" t="s">
        <v>49</v>
      </c>
      <c r="C53" s="24">
        <f>C52+C50</f>
        <v>0</v>
      </c>
      <c r="D53" s="24">
        <f>D52+D50</f>
        <v>16808.193362330836</v>
      </c>
      <c r="J53" s="20">
        <v>34.967758738057853</v>
      </c>
    </row>
    <row r="54" spans="1:10" ht="26.25" x14ac:dyDescent="0.25">
      <c r="A54" s="18"/>
      <c r="B54" s="25" t="s">
        <v>50</v>
      </c>
      <c r="C54" s="26">
        <f>(C53/C55)*50</f>
        <v>0</v>
      </c>
      <c r="D54" s="26">
        <f>(D53/D55)*50</f>
        <v>389078.55005395447</v>
      </c>
      <c r="J54" s="20">
        <v>19.050827637795845</v>
      </c>
    </row>
    <row r="55" spans="1:10" ht="16.5" x14ac:dyDescent="0.25">
      <c r="A55" s="18"/>
      <c r="B55" s="1" t="s">
        <v>51</v>
      </c>
      <c r="C55" s="12">
        <v>1.1000000000000001</v>
      </c>
      <c r="D55" s="12">
        <v>2.16</v>
      </c>
      <c r="J55" s="20">
        <v>42.043342948179976</v>
      </c>
    </row>
    <row r="56" spans="1:10" x14ac:dyDescent="0.25">
      <c r="A56" s="18"/>
      <c r="J56" s="20">
        <v>109.92851715976649</v>
      </c>
    </row>
    <row r="57" spans="1:10" x14ac:dyDescent="0.25">
      <c r="A57" s="18"/>
      <c r="J57" s="20">
        <v>52.378000261576993</v>
      </c>
    </row>
    <row r="58" spans="1:10" x14ac:dyDescent="0.25">
      <c r="A58" s="18"/>
    </row>
    <row r="59" spans="1:10" x14ac:dyDescent="0.25">
      <c r="A59" s="18"/>
    </row>
    <row r="60" spans="1:10" x14ac:dyDescent="0.25">
      <c r="A60" s="18"/>
    </row>
    <row r="61" spans="1:10" x14ac:dyDescent="0.25">
      <c r="A61" s="18"/>
    </row>
    <row r="62" spans="1:10" x14ac:dyDescent="0.25">
      <c r="A62" s="18"/>
    </row>
    <row r="63" spans="1:10" x14ac:dyDescent="0.25">
      <c r="A63" s="18"/>
    </row>
    <row r="64" spans="1:10" x14ac:dyDescent="0.25">
      <c r="A64" s="18"/>
    </row>
    <row r="65" spans="1:1" x14ac:dyDescent="0.25">
      <c r="A65" s="18"/>
    </row>
    <row r="66" spans="1:1" x14ac:dyDescent="0.25">
      <c r="A66" s="18"/>
    </row>
  </sheetData>
  <sortState ref="B16:B45">
    <sortCondition descending="1" ref="B16"/>
  </sortState>
  <mergeCells count="7">
    <mergeCell ref="F36:J3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Mei</vt:lpstr>
      <vt:lpstr>Jun</vt:lpstr>
      <vt:lpstr>Jul</vt:lpstr>
      <vt:lpstr>Ags</vt:lpstr>
      <vt:lpstr>Sep</vt:lpstr>
      <vt:lpstr>Okt</vt:lpstr>
      <vt:lpstr>Nov</vt:lpstr>
      <vt:lpstr>Des</vt:lpstr>
      <vt:lpstr>Rekap</vt:lpstr>
      <vt:lpstr>Distribusi Sedimen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dhanang samatha</cp:lastModifiedBy>
  <dcterms:created xsi:type="dcterms:W3CDTF">2019-04-05T01:46:46Z</dcterms:created>
  <dcterms:modified xsi:type="dcterms:W3CDTF">2019-04-12T09:54:04Z</dcterms:modified>
</cp:coreProperties>
</file>