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Kuliah\TA\"/>
    </mc:Choice>
  </mc:AlternateContent>
  <xr:revisionPtr revIDLastSave="0" documentId="13_ncr:1_{D2C60A1D-5B16-4EB1-BEFD-12B1B53397BD}" xr6:coauthVersionLast="47" xr6:coauthVersionMax="47" xr10:uidLastSave="{00000000-0000-0000-0000-000000000000}"/>
  <bookViews>
    <workbookView xWindow="-120" yWindow="-120" windowWidth="20730" windowHeight="11310" firstSheet="8" activeTab="10" xr2:uid="{789405FA-B999-4D04-B4BA-79CC02C3E929}"/>
  </bookViews>
  <sheets>
    <sheet name="Perhitungan Beban" sheetId="4" r:id="rId1"/>
    <sheet name="Data NSPT" sheetId="1" r:id="rId2"/>
    <sheet name="RS Pusjatan 2017" sheetId="2" r:id="rId3"/>
    <sheet name="Hasil P1 Kuat I" sheetId="6" r:id="rId4"/>
    <sheet name="Hasil P2 Kuat I" sheetId="8" r:id="rId5"/>
    <sheet name="Kapasitas P1 Komposit" sheetId="3" r:id="rId6"/>
    <sheet name="Kapasitas P1 tanpa CS" sheetId="7" r:id="rId7"/>
    <sheet name="Kapasitas P2" sheetId="12" r:id="rId8"/>
    <sheet name="Diagram Interaksi" sheetId="5" r:id="rId9"/>
    <sheet name="Perbandingan Vs Perencanaan-old" sheetId="11" state="hidden" r:id="rId10"/>
    <sheet name="Perbandingan Vs Perencanaan" sheetId="13" r:id="rId11"/>
    <sheet name="Perbandingan Komposit Vs CSP" sheetId="10" r:id="rId12"/>
  </sheets>
  <externalReferences>
    <externalReference r:id="rId13"/>
  </externalReferences>
  <definedNames>
    <definedName name="_xlnm._FilterDatabase" localSheetId="3" hidden="1">'Hasil P1 Kuat I'!$A$1:$K$859</definedName>
    <definedName name="_xlnm._FilterDatabase" localSheetId="4" hidden="1">'Hasil P2 Kuat I'!$A$1:$M$937</definedName>
    <definedName name="_xlnm._FilterDatabase" localSheetId="6" hidden="1">'Kapasitas P1 tanpa CS'!$A$77:$U$119</definedName>
    <definedName name="_xlnm._FilterDatabase" localSheetId="7" hidden="1">'Kapasitas P2'!$A$81:$P$123</definedName>
    <definedName name="_xlnm.Print_Area" localSheetId="0">'Perhitungan Beban'!$B$1:$J$104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3" l="1"/>
  <c r="D39" i="13"/>
  <c r="AL16" i="10"/>
  <c r="AE13" i="13"/>
  <c r="AD13" i="13"/>
  <c r="J62" i="10"/>
  <c r="J61" i="10"/>
  <c r="N6" i="10"/>
  <c r="N7" i="10" s="1"/>
  <c r="R3" i="10"/>
  <c r="E6" i="10"/>
  <c r="E7" i="10" s="1"/>
  <c r="I3" i="10"/>
  <c r="T10" i="13"/>
  <c r="U40" i="13"/>
  <c r="U39" i="13"/>
  <c r="Y5" i="13"/>
  <c r="Y4" i="13"/>
  <c r="T35" i="3"/>
  <c r="P67" i="10"/>
  <c r="P68" i="10" s="1"/>
  <c r="P69" i="10" s="1"/>
  <c r="P61" i="10"/>
  <c r="P62" i="10"/>
  <c r="P63" i="10" s="1"/>
  <c r="V4" i="2"/>
  <c r="V5" i="2"/>
  <c r="V6" i="2"/>
  <c r="V7" i="2"/>
  <c r="V8" i="2"/>
  <c r="V9" i="2"/>
  <c r="V10" i="2"/>
  <c r="V11" i="2"/>
  <c r="V12" i="2"/>
  <c r="V13" i="2"/>
  <c r="V14" i="2"/>
  <c r="V15" i="2"/>
  <c r="U5" i="2"/>
  <c r="U6" i="2"/>
  <c r="U7" i="2"/>
  <c r="U8" i="2"/>
  <c r="U9" i="2"/>
  <c r="U10" i="2"/>
  <c r="U11" i="2"/>
  <c r="U12" i="2"/>
  <c r="U13" i="2"/>
  <c r="U14" i="2"/>
  <c r="U15" i="2"/>
  <c r="U4" i="2"/>
  <c r="S5" i="2"/>
  <c r="S6" i="2"/>
  <c r="S7" i="2"/>
  <c r="S8" i="2"/>
  <c r="S9" i="2"/>
  <c r="S10" i="2"/>
  <c r="S11" i="2"/>
  <c r="S12" i="2"/>
  <c r="S13" i="2"/>
  <c r="S14" i="2"/>
  <c r="S15" i="2"/>
  <c r="S4" i="2"/>
  <c r="R5" i="2"/>
  <c r="R6" i="2"/>
  <c r="R7" i="2"/>
  <c r="R8" i="2"/>
  <c r="R9" i="2"/>
  <c r="R10" i="2"/>
  <c r="R11" i="2"/>
  <c r="R12" i="2"/>
  <c r="R13" i="2"/>
  <c r="R14" i="2"/>
  <c r="R15" i="2"/>
  <c r="R4" i="2"/>
  <c r="P5" i="2"/>
  <c r="P6" i="2"/>
  <c r="P7" i="2"/>
  <c r="P8" i="2"/>
  <c r="P9" i="2"/>
  <c r="P10" i="2"/>
  <c r="P11" i="2"/>
  <c r="P12" i="2"/>
  <c r="P13" i="2"/>
  <c r="P14" i="2"/>
  <c r="P15" i="2"/>
  <c r="P4" i="2"/>
  <c r="O5" i="2"/>
  <c r="O6" i="2"/>
  <c r="O7" i="2"/>
  <c r="O8" i="2"/>
  <c r="O9" i="2"/>
  <c r="O10" i="2"/>
  <c r="O11" i="2"/>
  <c r="O12" i="2"/>
  <c r="O13" i="2"/>
  <c r="O14" i="2"/>
  <c r="O15" i="2"/>
  <c r="O4" i="2"/>
  <c r="H79" i="4"/>
  <c r="H7" i="4" l="1"/>
  <c r="H69" i="4"/>
  <c r="AS36" i="10"/>
  <c r="AS40" i="10"/>
  <c r="AS38" i="10"/>
  <c r="AN40" i="10"/>
  <c r="AN38" i="10"/>
  <c r="AN36" i="10"/>
  <c r="K65" i="10"/>
  <c r="K59" i="10"/>
  <c r="K69" i="10"/>
  <c r="M68" i="10"/>
  <c r="M69" i="10" s="1"/>
  <c r="M67" i="10"/>
  <c r="M66" i="10" s="1"/>
  <c r="K67" i="10"/>
  <c r="M65" i="10"/>
  <c r="L65" i="10"/>
  <c r="M62" i="10"/>
  <c r="M63" i="10" s="1"/>
  <c r="M61" i="10"/>
  <c r="K63" i="10"/>
  <c r="K61" i="10"/>
  <c r="M59" i="10"/>
  <c r="L59" i="10"/>
  <c r="M60" i="10"/>
  <c r="P36" i="10"/>
  <c r="O36" i="10"/>
  <c r="L36" i="10"/>
  <c r="K36" i="10"/>
  <c r="O40" i="10" a="1"/>
  <c r="O40" i="10" s="1"/>
  <c r="N40" i="10"/>
  <c r="K40" i="10" a="1"/>
  <c r="K40" i="10" s="1"/>
  <c r="J40" i="10"/>
  <c r="O38" i="10"/>
  <c r="N38" i="10"/>
  <c r="K38" i="10" a="1"/>
  <c r="K38" i="10" s="1"/>
  <c r="J38" i="10"/>
  <c r="N36" i="10"/>
  <c r="J36" i="10"/>
  <c r="N18" i="10"/>
  <c r="O18" i="10" a="1"/>
  <c r="O18" i="10" s="1"/>
  <c r="N16" i="10"/>
  <c r="N14" i="10"/>
  <c r="P14" i="10"/>
  <c r="O14" i="10"/>
  <c r="K18" i="10" a="1"/>
  <c r="K18" i="10" s="1"/>
  <c r="J18" i="10"/>
  <c r="K16" i="10" a="1"/>
  <c r="K16" i="10" s="1"/>
  <c r="J16" i="10"/>
  <c r="L14" i="10"/>
  <c r="K14" i="10"/>
  <c r="J14" i="10"/>
  <c r="F41" i="10"/>
  <c r="H41" i="10" s="1" a="1"/>
  <c r="H41" i="10" s="1"/>
  <c r="F40" i="10"/>
  <c r="H40" i="10" s="1" a="1"/>
  <c r="H40" i="10" s="1"/>
  <c r="F39" i="10"/>
  <c r="H39" i="10" s="1" a="1"/>
  <c r="H39" i="10" s="1"/>
  <c r="F38" i="10"/>
  <c r="H38" i="10" s="1" a="1"/>
  <c r="H38" i="10" s="1"/>
  <c r="AC41" i="13"/>
  <c r="AD39" i="13"/>
  <c r="AC39" i="13"/>
  <c r="AC37" i="13"/>
  <c r="Y41" i="13"/>
  <c r="Z39" i="13" a="1"/>
  <c r="Z39" i="13" s="1"/>
  <c r="Y39" i="13"/>
  <c r="Y37" i="13"/>
  <c r="N41" i="13"/>
  <c r="N39" i="13"/>
  <c r="M41" i="13"/>
  <c r="M39" i="13"/>
  <c r="J37" i="13"/>
  <c r="N37" i="13"/>
  <c r="M37" i="13"/>
  <c r="O37" i="13"/>
  <c r="K37" i="13"/>
  <c r="J41" i="13" a="1"/>
  <c r="J41" i="13" s="1"/>
  <c r="I41" i="13"/>
  <c r="J39" i="13" a="1"/>
  <c r="J39" i="13" s="1"/>
  <c r="I39" i="13"/>
  <c r="I37" i="13"/>
  <c r="N18" i="13" a="1"/>
  <c r="N18" i="13" s="1"/>
  <c r="N16" i="13"/>
  <c r="M18" i="13"/>
  <c r="M16" i="13"/>
  <c r="M14" i="13"/>
  <c r="I14" i="13"/>
  <c r="O14" i="13"/>
  <c r="N14" i="13"/>
  <c r="K14" i="13"/>
  <c r="J14" i="13"/>
  <c r="I18" i="13"/>
  <c r="I16" i="13"/>
  <c r="J16" i="13" a="1"/>
  <c r="J16" i="13" s="1"/>
  <c r="J18" i="13" a="1"/>
  <c r="J18" i="13" s="1"/>
  <c r="Z8" i="10"/>
  <c r="T8" i="13"/>
  <c r="AD11" i="10"/>
  <c r="AA41" i="10" s="1"/>
  <c r="Y6" i="13"/>
  <c r="N3" i="6"/>
  <c r="T17" i="13" s="1"/>
  <c r="E41" i="13"/>
  <c r="G41" i="13" s="1" a="1"/>
  <c r="G41" i="13" s="1"/>
  <c r="E40" i="13"/>
  <c r="F40" i="13" s="1"/>
  <c r="E42" i="13"/>
  <c r="G42" i="13" s="1" a="1"/>
  <c r="G42" i="13" s="1"/>
  <c r="E39" i="13"/>
  <c r="G39" i="13" s="1" a="1"/>
  <c r="G39" i="13" s="1"/>
  <c r="E19" i="13"/>
  <c r="F19" i="13" s="1"/>
  <c r="E18" i="13"/>
  <c r="G18" i="13" s="1" a="1"/>
  <c r="G18" i="13" s="1"/>
  <c r="E17" i="13"/>
  <c r="K17" i="13" s="1"/>
  <c r="K18" i="13" s="1"/>
  <c r="E16" i="13"/>
  <c r="K16" i="13" s="1"/>
  <c r="K15" i="13" s="1"/>
  <c r="H12" i="13"/>
  <c r="H11" i="13"/>
  <c r="V4" i="13"/>
  <c r="T4" i="13"/>
  <c r="AH41" i="10"/>
  <c r="AI41" i="10"/>
  <c r="AH39" i="10"/>
  <c r="AI39" i="10"/>
  <c r="G68" i="10"/>
  <c r="I68" i="10" s="1"/>
  <c r="G67" i="10"/>
  <c r="I67" i="10" s="1"/>
  <c r="G62" i="10"/>
  <c r="I62" i="10" s="1"/>
  <c r="G61" i="10"/>
  <c r="I61" i="10" s="1"/>
  <c r="R8" i="10"/>
  <c r="R6" i="10"/>
  <c r="N5" i="10" s="1"/>
  <c r="R12" i="10"/>
  <c r="R11" i="10"/>
  <c r="R7" i="10"/>
  <c r="I7" i="10"/>
  <c r="I6" i="10"/>
  <c r="E5" i="10" s="1"/>
  <c r="O8" i="11"/>
  <c r="C117" i="12"/>
  <c r="D117" i="12" s="1"/>
  <c r="N4" i="10" l="1"/>
  <c r="K40" i="13"/>
  <c r="K41" i="13" s="1"/>
  <c r="AT40" i="10" a="1"/>
  <c r="AT40" i="10" s="1"/>
  <c r="AO40" i="10" a="1"/>
  <c r="AO40" i="10" s="1"/>
  <c r="K39" i="13"/>
  <c r="K38" i="13" s="1"/>
  <c r="O39" i="13"/>
  <c r="O38" i="13" s="1"/>
  <c r="L67" i="10"/>
  <c r="L69" i="10"/>
  <c r="O40" i="13"/>
  <c r="O41" i="13" s="1"/>
  <c r="L61" i="10"/>
  <c r="L63" i="10"/>
  <c r="P38" i="10"/>
  <c r="P37" i="10" s="1"/>
  <c r="L38" i="10"/>
  <c r="L37" i="10" s="1"/>
  <c r="L39" i="10"/>
  <c r="L40" i="10" s="1"/>
  <c r="P39" i="10"/>
  <c r="P40" i="10" s="1"/>
  <c r="G38" i="10"/>
  <c r="G39" i="10"/>
  <c r="G40" i="10"/>
  <c r="G41" i="10"/>
  <c r="O17" i="13"/>
  <c r="O18" i="13" s="1"/>
  <c r="O16" i="13"/>
  <c r="O15" i="13" s="1"/>
  <c r="D7" i="13"/>
  <c r="D8" i="13" s="1"/>
  <c r="G40" i="13" a="1"/>
  <c r="G40" i="13" s="1"/>
  <c r="F16" i="13"/>
  <c r="G16" i="13" a="1"/>
  <c r="G16" i="13" s="1"/>
  <c r="F18" i="13"/>
  <c r="G19" i="13" a="1"/>
  <c r="G19" i="13" s="1"/>
  <c r="D3" i="13"/>
  <c r="D4" i="13" s="1"/>
  <c r="D5" i="13" s="1"/>
  <c r="F17" i="13"/>
  <c r="G17" i="13" a="1"/>
  <c r="G17" i="13" s="1"/>
  <c r="AA40" i="10"/>
  <c r="F39" i="13"/>
  <c r="F41" i="13"/>
  <c r="F42" i="13"/>
  <c r="N8" i="10" l="1"/>
  <c r="N9" i="10" s="1"/>
  <c r="F19" i="10" l="1"/>
  <c r="F103" i="10"/>
  <c r="AJ41" i="10"/>
  <c r="AB4" i="10"/>
  <c r="Z4" i="10"/>
  <c r="O4" i="11"/>
  <c r="Q4" i="11"/>
  <c r="G26" i="11" a="1"/>
  <c r="G26" i="11" s="1"/>
  <c r="I12" i="10"/>
  <c r="I11" i="10"/>
  <c r="H12" i="11"/>
  <c r="H11" i="11"/>
  <c r="D3" i="11" s="1"/>
  <c r="G120" i="10"/>
  <c r="G119" i="10"/>
  <c r="E26" i="11"/>
  <c r="E25" i="11"/>
  <c r="G25" i="11" s="1" a="1"/>
  <c r="G25" i="11" s="1"/>
  <c r="E23" i="11"/>
  <c r="G23" i="11" s="1" a="1"/>
  <c r="G23" i="11" s="1"/>
  <c r="E24" i="11"/>
  <c r="G24" i="11" s="1" a="1"/>
  <c r="G24" i="11" s="1"/>
  <c r="Q3" i="8"/>
  <c r="Q2" i="8"/>
  <c r="P3" i="6"/>
  <c r="P2" i="6"/>
  <c r="E4" i="10" l="1"/>
  <c r="E8" i="10" s="1"/>
  <c r="E9" i="10" s="1"/>
  <c r="O24" i="11"/>
  <c r="T42" i="13"/>
  <c r="D7" i="11"/>
  <c r="Z39" i="10"/>
  <c r="AI40" i="10" s="1"/>
  <c r="AV39" i="10"/>
  <c r="AV40" i="10" s="1"/>
  <c r="AV38" i="10"/>
  <c r="AV37" i="10" s="1"/>
  <c r="N23" i="11"/>
  <c r="S40" i="13"/>
  <c r="Y38" i="10"/>
  <c r="AH38" i="10" s="1"/>
  <c r="N24" i="11"/>
  <c r="S42" i="13"/>
  <c r="Y39" i="10"/>
  <c r="AH40" i="10" s="1"/>
  <c r="AT38" i="10" s="1" a="1"/>
  <c r="AT38" i="10" s="1"/>
  <c r="O23" i="11"/>
  <c r="T40" i="13"/>
  <c r="Z38" i="10"/>
  <c r="AI38" i="10" s="1"/>
  <c r="G19" i="10"/>
  <c r="P16" i="10"/>
  <c r="P15" i="10" s="1"/>
  <c r="P17" i="10"/>
  <c r="P18" i="10" s="1"/>
  <c r="H19" i="10" a="1"/>
  <c r="H19" i="10" s="1"/>
  <c r="H103" i="10" a="1"/>
  <c r="H103" i="10" s="1"/>
  <c r="G103" i="10"/>
  <c r="AJ39" i="10"/>
  <c r="C77" i="12"/>
  <c r="D77" i="12" s="1"/>
  <c r="E77" i="12"/>
  <c r="F77" i="12" s="1"/>
  <c r="G77" i="12" s="1"/>
  <c r="H77" i="12"/>
  <c r="J77" i="12"/>
  <c r="K77" i="12" s="1"/>
  <c r="L77" i="12" s="1"/>
  <c r="M77" i="12"/>
  <c r="C124" i="12"/>
  <c r="D124" i="12" s="1"/>
  <c r="Q82" i="12"/>
  <c r="S82" i="12" s="1"/>
  <c r="M70" i="12"/>
  <c r="J70" i="12"/>
  <c r="Q70" i="12" s="1"/>
  <c r="H70" i="12"/>
  <c r="E70" i="12"/>
  <c r="F70" i="12" s="1"/>
  <c r="G70" i="12" s="1"/>
  <c r="C70" i="12"/>
  <c r="D70" i="12" s="1"/>
  <c r="B56" i="12"/>
  <c r="B44" i="12" s="1"/>
  <c r="H44" i="12" s="1"/>
  <c r="Q35" i="12"/>
  <c r="S35" i="12" s="1"/>
  <c r="G19" i="12"/>
  <c r="G18" i="12"/>
  <c r="L24" i="12"/>
  <c r="L23" i="12"/>
  <c r="L14" i="12"/>
  <c r="L13" i="12"/>
  <c r="L12" i="12"/>
  <c r="P3" i="8"/>
  <c r="V19" i="13" s="1"/>
  <c r="P2" i="8"/>
  <c r="O3" i="8"/>
  <c r="O2" i="8"/>
  <c r="O3" i="6"/>
  <c r="O2" i="6"/>
  <c r="O16" i="11"/>
  <c r="N2" i="6"/>
  <c r="E17" i="11"/>
  <c r="G17" i="11" s="1" a="1"/>
  <c r="G17" i="11" s="1"/>
  <c r="E18" i="11"/>
  <c r="G18" i="11" s="1" a="1"/>
  <c r="G18" i="11" s="1"/>
  <c r="E19" i="11"/>
  <c r="G19" i="11" s="1" a="1"/>
  <c r="G19" i="11" s="1"/>
  <c r="E16" i="11"/>
  <c r="G16" i="11" s="1" a="1"/>
  <c r="G16" i="11" s="1"/>
  <c r="P17" i="11" l="1"/>
  <c r="U19" i="13"/>
  <c r="Y10" i="13"/>
  <c r="AD10" i="10"/>
  <c r="Z41" i="13" a="1"/>
  <c r="Z41" i="13" s="1"/>
  <c r="Q16" i="11"/>
  <c r="V17" i="13"/>
  <c r="B83" i="12"/>
  <c r="E83" i="12" s="1"/>
  <c r="E117" i="12"/>
  <c r="H117" i="12"/>
  <c r="AQ38" i="10"/>
  <c r="AQ37" i="10" s="1"/>
  <c r="AQ39" i="10"/>
  <c r="AQ40" i="10" s="1"/>
  <c r="AD41" i="13"/>
  <c r="P16" i="11"/>
  <c r="U17" i="13"/>
  <c r="N17" i="11"/>
  <c r="Z9" i="10"/>
  <c r="Z11" i="10" s="1"/>
  <c r="S19" i="13"/>
  <c r="T9" i="13"/>
  <c r="T11" i="13" s="1"/>
  <c r="J117" i="12"/>
  <c r="K117" i="12" s="1"/>
  <c r="L117" i="12" s="1"/>
  <c r="N117" i="12" s="1"/>
  <c r="M117" i="12"/>
  <c r="S17" i="13"/>
  <c r="N16" i="11"/>
  <c r="T19" i="13"/>
  <c r="O17" i="11"/>
  <c r="L15" i="12"/>
  <c r="Y9" i="13"/>
  <c r="AD9" i="10"/>
  <c r="AO38" i="10" a="1"/>
  <c r="AO38" i="10" s="1"/>
  <c r="F16" i="10"/>
  <c r="L16" i="10" s="1"/>
  <c r="L15" i="10" s="1"/>
  <c r="F17" i="10"/>
  <c r="L17" i="10" s="1"/>
  <c r="L18" i="10" s="1"/>
  <c r="F102" i="10"/>
  <c r="F100" i="10"/>
  <c r="Q17" i="11"/>
  <c r="B52" i="12"/>
  <c r="H52" i="12" s="1"/>
  <c r="B76" i="12"/>
  <c r="E76" i="12" s="1"/>
  <c r="F76" i="12" s="1"/>
  <c r="G76" i="12" s="1"/>
  <c r="B75" i="12"/>
  <c r="M75" i="12" s="1"/>
  <c r="B74" i="12"/>
  <c r="M74" i="12" s="1"/>
  <c r="B73" i="12"/>
  <c r="C73" i="12" s="1"/>
  <c r="D73" i="12" s="1"/>
  <c r="H76" i="12"/>
  <c r="I76" i="12" s="1"/>
  <c r="I77" i="12"/>
  <c r="N77" i="12"/>
  <c r="Q77" i="12"/>
  <c r="O82" i="12"/>
  <c r="R82" i="12" s="1"/>
  <c r="O35" i="12"/>
  <c r="R35" i="12" s="1"/>
  <c r="B36" i="12"/>
  <c r="H36" i="12" s="1"/>
  <c r="K70" i="12"/>
  <c r="L70" i="12" s="1"/>
  <c r="N70" i="12" s="1"/>
  <c r="M44" i="12"/>
  <c r="B68" i="12"/>
  <c r="B66" i="12"/>
  <c r="B64" i="12"/>
  <c r="B62" i="12"/>
  <c r="B60" i="12"/>
  <c r="B72" i="12"/>
  <c r="B65" i="12"/>
  <c r="B59" i="12"/>
  <c r="B57" i="12"/>
  <c r="H56" i="12"/>
  <c r="B55" i="12"/>
  <c r="B53" i="12"/>
  <c r="B51" i="12"/>
  <c r="B49" i="12"/>
  <c r="B47" i="12"/>
  <c r="B45" i="12"/>
  <c r="B43" i="12"/>
  <c r="B41" i="12"/>
  <c r="B39" i="12"/>
  <c r="B37" i="12"/>
  <c r="B67" i="12"/>
  <c r="C56" i="12"/>
  <c r="D56" i="12" s="1"/>
  <c r="J83" i="12"/>
  <c r="B42" i="12"/>
  <c r="E56" i="12"/>
  <c r="F56" i="12" s="1"/>
  <c r="G56" i="12" s="1"/>
  <c r="E124" i="12"/>
  <c r="B103" i="12"/>
  <c r="H124" i="12"/>
  <c r="B40" i="12"/>
  <c r="E44" i="12"/>
  <c r="F44" i="12" s="1"/>
  <c r="G44" i="12" s="1"/>
  <c r="I44" i="12" s="1"/>
  <c r="J44" i="12"/>
  <c r="B48" i="12"/>
  <c r="B54" i="12"/>
  <c r="B58" i="12"/>
  <c r="B61" i="12"/>
  <c r="B71" i="12"/>
  <c r="J56" i="12"/>
  <c r="C44" i="12"/>
  <c r="D44" i="12" s="1"/>
  <c r="B50" i="12"/>
  <c r="M56" i="12"/>
  <c r="I70" i="12"/>
  <c r="J124" i="12"/>
  <c r="M124" i="12"/>
  <c r="B38" i="12"/>
  <c r="B46" i="12"/>
  <c r="B63" i="12"/>
  <c r="B69" i="12"/>
  <c r="F26" i="11"/>
  <c r="F25" i="11"/>
  <c r="F24" i="11"/>
  <c r="F23" i="11"/>
  <c r="F19" i="11"/>
  <c r="F17" i="11"/>
  <c r="O12" i="11"/>
  <c r="D8" i="11"/>
  <c r="D4" i="11"/>
  <c r="D5" i="11" s="1"/>
  <c r="G112" i="10"/>
  <c r="G113" i="10"/>
  <c r="V78" i="7"/>
  <c r="X78" i="7" s="1"/>
  <c r="V35" i="7"/>
  <c r="X35" i="7" s="1"/>
  <c r="V80" i="3"/>
  <c r="X80" i="3" s="1"/>
  <c r="V35" i="3"/>
  <c r="X35" i="3" s="1"/>
  <c r="C120" i="7"/>
  <c r="D120" i="7" s="1"/>
  <c r="C73" i="7"/>
  <c r="D73" i="7" s="1"/>
  <c r="M79" i="8"/>
  <c r="M172" i="8"/>
  <c r="M149" i="8"/>
  <c r="M420" i="8"/>
  <c r="M353" i="8"/>
  <c r="M520" i="8"/>
  <c r="M352" i="8"/>
  <c r="M571" i="8"/>
  <c r="M351" i="8"/>
  <c r="M647" i="8"/>
  <c r="M317" i="8"/>
  <c r="M759" i="8"/>
  <c r="M653" i="8"/>
  <c r="M804" i="8"/>
  <c r="M721" i="8"/>
  <c r="M805" i="8"/>
  <c r="M719" i="8"/>
  <c r="M750" i="8"/>
  <c r="M233" i="8"/>
  <c r="M663" i="8"/>
  <c r="M220" i="8"/>
  <c r="M355" i="8"/>
  <c r="M231" i="8"/>
  <c r="M554" i="8"/>
  <c r="M318" i="8"/>
  <c r="M581" i="8"/>
  <c r="M428" i="8"/>
  <c r="M613" i="8"/>
  <c r="M525" i="8"/>
  <c r="M568" i="8"/>
  <c r="M507" i="8"/>
  <c r="M432" i="8"/>
  <c r="M386" i="8"/>
  <c r="M26" i="8"/>
  <c r="M24" i="8"/>
  <c r="M914" i="8"/>
  <c r="M912" i="8"/>
  <c r="M543" i="8"/>
  <c r="M506" i="8"/>
  <c r="M442" i="8"/>
  <c r="M378" i="8"/>
  <c r="M434" i="8"/>
  <c r="M349" i="8"/>
  <c r="M519" i="8"/>
  <c r="M374" i="8"/>
  <c r="M631" i="8"/>
  <c r="M391" i="8"/>
  <c r="M703" i="8"/>
  <c r="M348" i="8"/>
  <c r="M709" i="8"/>
  <c r="M252" i="8"/>
  <c r="M715" i="8"/>
  <c r="M192" i="8"/>
  <c r="M195" i="8"/>
  <c r="M126" i="8"/>
  <c r="M214" i="8"/>
  <c r="M130" i="8"/>
  <c r="M297" i="8"/>
  <c r="M183" i="8"/>
  <c r="M621" i="8"/>
  <c r="M290" i="8"/>
  <c r="M592" i="8"/>
  <c r="M372" i="8"/>
  <c r="M594" i="8"/>
  <c r="M425" i="8"/>
  <c r="M609" i="8"/>
  <c r="M539" i="8"/>
  <c r="M788" i="8"/>
  <c r="M755" i="8"/>
  <c r="M858" i="8"/>
  <c r="M854" i="8"/>
  <c r="M33" i="8"/>
  <c r="M29" i="8"/>
  <c r="M62" i="8"/>
  <c r="M53" i="8"/>
  <c r="M257" i="8"/>
  <c r="M159" i="8"/>
  <c r="M665" i="8"/>
  <c r="M160" i="8"/>
  <c r="M751" i="8"/>
  <c r="M161" i="8"/>
  <c r="M816" i="8"/>
  <c r="M135" i="8"/>
  <c r="M864" i="8"/>
  <c r="M813" i="8"/>
  <c r="M885" i="8"/>
  <c r="M842" i="8"/>
  <c r="M887" i="8"/>
  <c r="M841" i="8"/>
  <c r="M859" i="8"/>
  <c r="M102" i="8"/>
  <c r="M826" i="8"/>
  <c r="M95" i="8"/>
  <c r="M180" i="8"/>
  <c r="M99" i="8"/>
  <c r="M724" i="8"/>
  <c r="M129" i="8"/>
  <c r="M766" i="8"/>
  <c r="M285" i="8"/>
  <c r="M803" i="8"/>
  <c r="M691" i="8"/>
  <c r="M760" i="8"/>
  <c r="M650" i="8"/>
  <c r="M260" i="8"/>
  <c r="M190" i="8"/>
  <c r="M10" i="8"/>
  <c r="M2" i="8"/>
  <c r="M936" i="8"/>
  <c r="M928" i="8"/>
  <c r="M737" i="8"/>
  <c r="M648" i="8"/>
  <c r="M298" i="8"/>
  <c r="M179" i="8"/>
  <c r="M283" i="8"/>
  <c r="M148" i="8"/>
  <c r="M675" i="8"/>
  <c r="M177" i="8"/>
  <c r="M808" i="8"/>
  <c r="M221" i="8"/>
  <c r="M835" i="8"/>
  <c r="M166" i="8"/>
  <c r="M836" i="8"/>
  <c r="M104" i="8"/>
  <c r="M839" i="8"/>
  <c r="M86" i="8"/>
  <c r="M89" i="8"/>
  <c r="M50" i="8"/>
  <c r="M93" i="8"/>
  <c r="M52" i="8"/>
  <c r="M124" i="8"/>
  <c r="M78" i="8"/>
  <c r="M799" i="8"/>
  <c r="M118" i="8"/>
  <c r="M778" i="8"/>
  <c r="M186" i="8"/>
  <c r="M782" i="8"/>
  <c r="M284" i="8"/>
  <c r="M798" i="8"/>
  <c r="M707" i="8"/>
  <c r="M884" i="8"/>
  <c r="M874" i="8"/>
  <c r="M911" i="8"/>
  <c r="M907" i="8"/>
  <c r="M37" i="8"/>
  <c r="M31" i="8"/>
  <c r="M68" i="8"/>
  <c r="M56" i="8"/>
  <c r="M310" i="8"/>
  <c r="M191" i="8"/>
  <c r="M601" i="8"/>
  <c r="M204" i="8"/>
  <c r="M700" i="8"/>
  <c r="M213" i="8"/>
  <c r="M791" i="8"/>
  <c r="M187" i="8"/>
  <c r="M843" i="8"/>
  <c r="M770" i="8"/>
  <c r="M868" i="8"/>
  <c r="M818" i="8"/>
  <c r="M867" i="8"/>
  <c r="M812" i="8"/>
  <c r="M834" i="8"/>
  <c r="M128" i="8"/>
  <c r="M793" i="8"/>
  <c r="M111" i="8"/>
  <c r="M253" i="8"/>
  <c r="M114" i="8"/>
  <c r="M654" i="8"/>
  <c r="M165" i="8"/>
  <c r="M727" i="8"/>
  <c r="M339" i="8"/>
  <c r="M780" i="8"/>
  <c r="M642" i="8"/>
  <c r="M738" i="8"/>
  <c r="M619" i="8"/>
  <c r="M304" i="8"/>
  <c r="M216" i="8"/>
  <c r="M14" i="8"/>
  <c r="M4" i="8"/>
  <c r="M934" i="8"/>
  <c r="M924" i="8"/>
  <c r="M704" i="8"/>
  <c r="M622" i="8"/>
  <c r="M332" i="8"/>
  <c r="M212" i="8"/>
  <c r="M326" i="8"/>
  <c r="M171" i="8"/>
  <c r="M617" i="8"/>
  <c r="M223" i="8"/>
  <c r="M779" i="8"/>
  <c r="M295" i="8"/>
  <c r="M823" i="8"/>
  <c r="M234" i="8"/>
  <c r="M815" i="8"/>
  <c r="M131" i="8"/>
  <c r="M814" i="8"/>
  <c r="M105" i="8"/>
  <c r="M110" i="8"/>
  <c r="M63" i="8"/>
  <c r="M117" i="8"/>
  <c r="M70" i="8"/>
  <c r="M174" i="8"/>
  <c r="M98" i="8"/>
  <c r="M745" i="8"/>
  <c r="M143" i="8"/>
  <c r="M733" i="8"/>
  <c r="M246" i="8"/>
  <c r="M742" i="8"/>
  <c r="M344" i="8"/>
  <c r="M752" i="8"/>
  <c r="M637" i="8"/>
  <c r="M882" i="8"/>
  <c r="M869" i="8"/>
  <c r="M909" i="8"/>
  <c r="M903" i="8"/>
  <c r="M41" i="8"/>
  <c r="M35" i="8"/>
  <c r="M72" i="8"/>
  <c r="M58" i="8"/>
  <c r="M350" i="8"/>
  <c r="M226" i="8"/>
  <c r="M535" i="8"/>
  <c r="M258" i="8"/>
  <c r="M628" i="8"/>
  <c r="M277" i="8"/>
  <c r="M729" i="8"/>
  <c r="M259" i="8"/>
  <c r="M828" i="8"/>
  <c r="M688" i="8"/>
  <c r="M848" i="8"/>
  <c r="M768" i="8"/>
  <c r="M845" i="8"/>
  <c r="M761" i="8"/>
  <c r="M810" i="8"/>
  <c r="M196" i="8"/>
  <c r="M713" i="8"/>
  <c r="M145" i="8"/>
  <c r="M599" i="8"/>
  <c r="M141" i="8"/>
  <c r="M587" i="8"/>
  <c r="M225" i="8"/>
  <c r="M683" i="8"/>
  <c r="M403" i="8"/>
  <c r="M748" i="8"/>
  <c r="M606" i="8"/>
  <c r="M702" i="8"/>
  <c r="M569" i="8"/>
  <c r="M333" i="8"/>
  <c r="M243" i="8"/>
  <c r="M17" i="8"/>
  <c r="M6" i="8"/>
  <c r="M932" i="8"/>
  <c r="M921" i="8"/>
  <c r="M660" i="8"/>
  <c r="M579" i="8"/>
  <c r="M376" i="8"/>
  <c r="M241" i="8"/>
  <c r="M370" i="8"/>
  <c r="M209" i="8"/>
  <c r="M552" i="8"/>
  <c r="M281" i="8"/>
  <c r="M734" i="8"/>
  <c r="M358" i="8"/>
  <c r="M797" i="8"/>
  <c r="M331" i="8"/>
  <c r="M774" i="8"/>
  <c r="M193" i="8"/>
  <c r="M769" i="8"/>
  <c r="M138" i="8"/>
  <c r="M152" i="8"/>
  <c r="M87" i="8"/>
  <c r="M163" i="8"/>
  <c r="M92" i="8"/>
  <c r="M266" i="8"/>
  <c r="M121" i="8"/>
  <c r="M657" i="8"/>
  <c r="M199" i="8"/>
  <c r="M667" i="8"/>
  <c r="M319" i="8"/>
  <c r="M685" i="8"/>
  <c r="M414" i="8"/>
  <c r="M716" i="8"/>
  <c r="M595" i="8"/>
  <c r="M880" i="8"/>
  <c r="M863" i="8"/>
  <c r="M905" i="8"/>
  <c r="M899" i="8"/>
  <c r="M45" i="8"/>
  <c r="M39" i="8"/>
  <c r="M75" i="8"/>
  <c r="M60" i="8"/>
  <c r="M381" i="8"/>
  <c r="M249" i="8"/>
  <c r="M490" i="8"/>
  <c r="M329" i="8"/>
  <c r="M549" i="8"/>
  <c r="M347" i="8"/>
  <c r="M643" i="8"/>
  <c r="M354" i="8"/>
  <c r="M790" i="8"/>
  <c r="M575" i="8"/>
  <c r="M827" i="8"/>
  <c r="M672" i="8"/>
  <c r="M825" i="8"/>
  <c r="M656" i="8"/>
  <c r="M757" i="8"/>
  <c r="M312" i="8"/>
  <c r="M618" i="8"/>
  <c r="M217" i="8"/>
  <c r="M508" i="8"/>
  <c r="M197" i="8"/>
  <c r="M517" i="8"/>
  <c r="M299" i="8"/>
  <c r="M625" i="8"/>
  <c r="M447" i="8"/>
  <c r="M717" i="8"/>
  <c r="M556" i="8"/>
  <c r="M658" i="8"/>
  <c r="M536" i="8"/>
  <c r="M363" i="8"/>
  <c r="M269" i="8"/>
  <c r="M19" i="8"/>
  <c r="M8" i="8"/>
  <c r="M930" i="8"/>
  <c r="M919" i="8"/>
  <c r="M632" i="8"/>
  <c r="M542" i="8"/>
  <c r="M398" i="8"/>
  <c r="M261" i="8"/>
  <c r="M413" i="8"/>
  <c r="M244" i="8"/>
  <c r="M499" i="8"/>
  <c r="M335" i="8"/>
  <c r="M664" i="8"/>
  <c r="M435" i="8"/>
  <c r="M740" i="8"/>
  <c r="M424" i="8"/>
  <c r="M701" i="8"/>
  <c r="M303" i="8"/>
  <c r="M679" i="8"/>
  <c r="M215" i="8"/>
  <c r="M239" i="8"/>
  <c r="M106" i="8"/>
  <c r="M263" i="8"/>
  <c r="M113" i="8"/>
  <c r="M384" i="8"/>
  <c r="M162" i="8"/>
  <c r="M573" i="8"/>
  <c r="M289" i="8"/>
  <c r="M598" i="8"/>
  <c r="M394" i="8"/>
  <c r="M620" i="8"/>
  <c r="M454" i="8"/>
  <c r="M696" i="8"/>
  <c r="M567" i="8"/>
  <c r="M878" i="8"/>
  <c r="M860" i="8"/>
  <c r="M901" i="8"/>
  <c r="M895" i="8"/>
  <c r="M48" i="8"/>
  <c r="M43" i="8"/>
  <c r="M81" i="8"/>
  <c r="M64" i="8"/>
  <c r="M407" i="8"/>
  <c r="M279" i="8"/>
  <c r="M468" i="8"/>
  <c r="M379" i="8"/>
  <c r="M493" i="8"/>
  <c r="M417" i="8"/>
  <c r="M576" i="8"/>
  <c r="M436" i="8"/>
  <c r="M711" i="8"/>
  <c r="M492" i="8"/>
  <c r="M789" i="8"/>
  <c r="M560" i="8"/>
  <c r="M785" i="8"/>
  <c r="M547" i="8"/>
  <c r="M681" i="8"/>
  <c r="M433" i="8"/>
  <c r="M513" i="8"/>
  <c r="M311" i="8"/>
  <c r="M480" i="8"/>
  <c r="M271" i="8"/>
  <c r="M486" i="8"/>
  <c r="M361" i="8"/>
  <c r="M565" i="8"/>
  <c r="M464" i="8"/>
  <c r="M697" i="8"/>
  <c r="M530" i="8"/>
  <c r="M640" i="8"/>
  <c r="M514" i="8"/>
  <c r="M393" i="8"/>
  <c r="M305" i="8"/>
  <c r="M21" i="8"/>
  <c r="M12" i="8"/>
  <c r="M926" i="8"/>
  <c r="M917" i="8"/>
  <c r="M603" i="8"/>
  <c r="M510" i="8"/>
  <c r="M406" i="8"/>
  <c r="M273" i="8"/>
  <c r="M443" i="8"/>
  <c r="M274" i="8"/>
  <c r="M484" i="8"/>
  <c r="M392" i="8"/>
  <c r="M602" i="8"/>
  <c r="M459" i="8"/>
  <c r="M670" i="8"/>
  <c r="M461" i="8"/>
  <c r="M590" i="8"/>
  <c r="M399" i="8"/>
  <c r="M561" i="8"/>
  <c r="M314" i="8"/>
  <c r="M366" i="8"/>
  <c r="M140" i="8"/>
  <c r="M385" i="8"/>
  <c r="M156" i="8"/>
  <c r="M456" i="8"/>
  <c r="M242" i="8"/>
  <c r="M501" i="8"/>
  <c r="M359" i="8"/>
  <c r="M531" i="8"/>
  <c r="M449" i="8"/>
  <c r="M555" i="8"/>
  <c r="M467" i="8"/>
  <c r="M668" i="8"/>
  <c r="M540" i="8"/>
  <c r="M875" i="8"/>
  <c r="M855" i="8"/>
  <c r="M897" i="8"/>
  <c r="M892" i="8"/>
  <c r="M49" i="8"/>
  <c r="M46" i="8"/>
  <c r="M85" i="8"/>
  <c r="M69" i="8"/>
  <c r="M438" i="8"/>
  <c r="M308" i="8"/>
  <c r="M473" i="8"/>
  <c r="M402" i="8"/>
  <c r="M482" i="8"/>
  <c r="M446" i="8"/>
  <c r="M515" i="8"/>
  <c r="M457" i="8"/>
  <c r="M644" i="8"/>
  <c r="M479" i="8"/>
  <c r="M741" i="8"/>
  <c r="M497" i="8"/>
  <c r="M744" i="8"/>
  <c r="M494" i="8"/>
  <c r="M626" i="8"/>
  <c r="M458" i="8"/>
  <c r="M488" i="8"/>
  <c r="M377" i="8"/>
  <c r="M475" i="8"/>
  <c r="M336" i="8"/>
  <c r="M478" i="8"/>
  <c r="M419" i="8"/>
  <c r="M544" i="8"/>
  <c r="M471" i="8"/>
  <c r="M690" i="8"/>
  <c r="M527" i="8"/>
  <c r="M634" i="8"/>
  <c r="M509" i="8"/>
  <c r="M411" i="8"/>
  <c r="M323" i="8"/>
  <c r="M23" i="8"/>
  <c r="M16" i="8"/>
  <c r="M923" i="8"/>
  <c r="M916" i="8"/>
  <c r="M585" i="8"/>
  <c r="M505" i="8"/>
  <c r="M418" i="8"/>
  <c r="M293" i="8"/>
  <c r="M445" i="8"/>
  <c r="M287" i="8"/>
  <c r="M477" i="8"/>
  <c r="M412" i="8"/>
  <c r="M548" i="8"/>
  <c r="M470" i="8"/>
  <c r="M616" i="8"/>
  <c r="M474" i="8"/>
  <c r="M532" i="8"/>
  <c r="M452" i="8"/>
  <c r="M503" i="8"/>
  <c r="M389" i="8"/>
  <c r="M430" i="8"/>
  <c r="M176" i="8"/>
  <c r="M448" i="8"/>
  <c r="M206" i="8"/>
  <c r="M472" i="8"/>
  <c r="M315" i="8"/>
  <c r="M483" i="8"/>
  <c r="M422" i="8"/>
  <c r="M495" i="8"/>
  <c r="M463" i="8"/>
  <c r="M537" i="8"/>
  <c r="M476" i="8"/>
  <c r="M641" i="8"/>
  <c r="M516" i="8"/>
  <c r="M870" i="8"/>
  <c r="M852" i="8"/>
  <c r="M893" i="8"/>
  <c r="M890" i="8"/>
  <c r="M47" i="8"/>
  <c r="M42" i="8"/>
  <c r="M82" i="8"/>
  <c r="M65" i="8"/>
  <c r="M416" i="8"/>
  <c r="M291" i="8"/>
  <c r="M469" i="8"/>
  <c r="M382" i="8"/>
  <c r="M496" i="8"/>
  <c r="M415" i="8"/>
  <c r="M578" i="8"/>
  <c r="M439" i="8"/>
  <c r="M710" i="8"/>
  <c r="M491" i="8"/>
  <c r="M786" i="8"/>
  <c r="M557" i="8"/>
  <c r="M783" i="8"/>
  <c r="M546" i="8"/>
  <c r="M684" i="8"/>
  <c r="M437" i="8"/>
  <c r="M523" i="8"/>
  <c r="M313" i="8"/>
  <c r="M481" i="8"/>
  <c r="M275" i="8"/>
  <c r="M487" i="8"/>
  <c r="M362" i="8"/>
  <c r="M562" i="8"/>
  <c r="M465" i="8"/>
  <c r="M698" i="8"/>
  <c r="M533" i="8"/>
  <c r="M645" i="8"/>
  <c r="M521" i="8"/>
  <c r="M395" i="8"/>
  <c r="M307" i="8"/>
  <c r="M22" i="8"/>
  <c r="M13" i="8"/>
  <c r="M927" i="8"/>
  <c r="M918" i="8"/>
  <c r="M604" i="8"/>
  <c r="M511" i="8"/>
  <c r="M408" i="8"/>
  <c r="M282" i="8"/>
  <c r="M444" i="8"/>
  <c r="M280" i="8"/>
  <c r="M485" i="8"/>
  <c r="M390" i="8"/>
  <c r="M605" i="8"/>
  <c r="M460" i="8"/>
  <c r="M674" i="8"/>
  <c r="M462" i="8"/>
  <c r="M597" i="8"/>
  <c r="M401" i="8"/>
  <c r="M563" i="8"/>
  <c r="M324" i="8"/>
  <c r="M364" i="8"/>
  <c r="M139" i="8"/>
  <c r="M383" i="8"/>
  <c r="M155" i="8"/>
  <c r="M455" i="8"/>
  <c r="M240" i="8"/>
  <c r="M502" i="8"/>
  <c r="M360" i="8"/>
  <c r="M528" i="8"/>
  <c r="M450" i="8"/>
  <c r="M558" i="8"/>
  <c r="M466" i="8"/>
  <c r="M678" i="8"/>
  <c r="M545" i="8"/>
  <c r="M876" i="8"/>
  <c r="M856" i="8"/>
  <c r="M896" i="8"/>
  <c r="M891" i="8"/>
  <c r="M44" i="8"/>
  <c r="M38" i="8"/>
  <c r="M76" i="8"/>
  <c r="M61" i="8"/>
  <c r="M387" i="8"/>
  <c r="M255" i="8"/>
  <c r="M489" i="8"/>
  <c r="M327" i="8"/>
  <c r="M550" i="8"/>
  <c r="M342" i="8"/>
  <c r="M646" i="8"/>
  <c r="M356" i="8"/>
  <c r="M792" i="8"/>
  <c r="M582" i="8"/>
  <c r="M830" i="8"/>
  <c r="M682" i="8"/>
  <c r="M831" i="8"/>
  <c r="M671" i="8"/>
  <c r="M763" i="8"/>
  <c r="M321" i="8"/>
  <c r="M627" i="8"/>
  <c r="M224" i="8"/>
  <c r="M512" i="8"/>
  <c r="M200" i="8"/>
  <c r="M524" i="8"/>
  <c r="M302" i="8"/>
  <c r="M624" i="8"/>
  <c r="M451" i="8"/>
  <c r="M712" i="8"/>
  <c r="M553" i="8"/>
  <c r="M652" i="8"/>
  <c r="M534" i="8"/>
  <c r="M367" i="8"/>
  <c r="M272" i="8"/>
  <c r="M20" i="8"/>
  <c r="M9" i="8"/>
  <c r="M931" i="8"/>
  <c r="M920" i="8"/>
  <c r="M630" i="8"/>
  <c r="M541" i="8"/>
  <c r="M400" i="8"/>
  <c r="M265" i="8"/>
  <c r="M410" i="8"/>
  <c r="M237" i="8"/>
  <c r="M500" i="8"/>
  <c r="M334" i="8"/>
  <c r="M669" i="8"/>
  <c r="M441" i="8"/>
  <c r="M743" i="8"/>
  <c r="M426" i="8"/>
  <c r="M706" i="8"/>
  <c r="M306" i="8"/>
  <c r="M686" i="8"/>
  <c r="M218" i="8"/>
  <c r="M250" i="8"/>
  <c r="M108" i="8"/>
  <c r="M270" i="8"/>
  <c r="M116" i="8"/>
  <c r="M388" i="8"/>
  <c r="M164" i="8"/>
  <c r="M577" i="8"/>
  <c r="M292" i="8"/>
  <c r="M596" i="8"/>
  <c r="M396" i="8"/>
  <c r="M614" i="8"/>
  <c r="M453" i="8"/>
  <c r="M705" i="8"/>
  <c r="M574" i="8"/>
  <c r="M879" i="8"/>
  <c r="M861" i="8"/>
  <c r="M900" i="8"/>
  <c r="M894" i="8"/>
  <c r="M40" i="8"/>
  <c r="M34" i="8"/>
  <c r="M74" i="8"/>
  <c r="M59" i="8"/>
  <c r="M357" i="8"/>
  <c r="M230" i="8"/>
  <c r="M526" i="8"/>
  <c r="M254" i="8"/>
  <c r="M629" i="8"/>
  <c r="M268" i="8"/>
  <c r="M731" i="8"/>
  <c r="M262" i="8"/>
  <c r="M832" i="8"/>
  <c r="M692" i="8"/>
  <c r="M851" i="8"/>
  <c r="M771" i="8"/>
  <c r="M850" i="8"/>
  <c r="M767" i="8"/>
  <c r="M811" i="8"/>
  <c r="M208" i="8"/>
  <c r="M720" i="8"/>
  <c r="M151" i="8"/>
  <c r="M610" i="8"/>
  <c r="M144" i="8"/>
  <c r="M593" i="8"/>
  <c r="M228" i="8"/>
  <c r="M680" i="8"/>
  <c r="M404" i="8"/>
  <c r="M747" i="8"/>
  <c r="M600" i="8"/>
  <c r="M693" i="8"/>
  <c r="M566" i="8"/>
  <c r="M330" i="8"/>
  <c r="M235" i="8"/>
  <c r="M18" i="8"/>
  <c r="M7" i="8"/>
  <c r="M933" i="8"/>
  <c r="M922" i="8"/>
  <c r="M655" i="8"/>
  <c r="M572" i="8"/>
  <c r="M369" i="8"/>
  <c r="M232" i="8"/>
  <c r="M365" i="8"/>
  <c r="M205" i="8"/>
  <c r="M551" i="8"/>
  <c r="M278" i="8"/>
  <c r="M739" i="8"/>
  <c r="M368" i="8"/>
  <c r="M800" i="8"/>
  <c r="M337" i="8"/>
  <c r="M781" i="8"/>
  <c r="M201" i="8"/>
  <c r="M772" i="8"/>
  <c r="M142" i="8"/>
  <c r="M157" i="8"/>
  <c r="M88" i="8"/>
  <c r="M167" i="8"/>
  <c r="M94" i="8"/>
  <c r="M276" i="8"/>
  <c r="M123" i="8"/>
  <c r="M662" i="8"/>
  <c r="M202" i="8"/>
  <c r="M659" i="8"/>
  <c r="M320" i="8"/>
  <c r="M677" i="8"/>
  <c r="M405" i="8"/>
  <c r="M723" i="8"/>
  <c r="M607" i="8"/>
  <c r="M881" i="8"/>
  <c r="M865" i="8"/>
  <c r="M904" i="8"/>
  <c r="M898" i="8"/>
  <c r="M36" i="8"/>
  <c r="M30" i="8"/>
  <c r="M71" i="8"/>
  <c r="M57" i="8"/>
  <c r="M309" i="8"/>
  <c r="M188" i="8"/>
  <c r="M588" i="8"/>
  <c r="M194" i="8"/>
  <c r="M699" i="8"/>
  <c r="M211" i="8"/>
  <c r="M795" i="8"/>
  <c r="M189" i="8"/>
  <c r="M847" i="8"/>
  <c r="M777" i="8"/>
  <c r="M871" i="8"/>
  <c r="M824" i="8"/>
  <c r="M872" i="8"/>
  <c r="M820" i="8"/>
  <c r="M837" i="8"/>
  <c r="M133" i="8"/>
  <c r="M796" i="8"/>
  <c r="M115" i="8"/>
  <c r="M694" i="8"/>
  <c r="M119" i="8"/>
  <c r="M666" i="8"/>
  <c r="M168" i="8"/>
  <c r="M726" i="8"/>
  <c r="M340" i="8"/>
  <c r="M776" i="8"/>
  <c r="M636" i="8"/>
  <c r="M725" i="8"/>
  <c r="M611" i="8"/>
  <c r="M296" i="8"/>
  <c r="M210" i="8"/>
  <c r="M15" i="8"/>
  <c r="M5" i="8"/>
  <c r="M935" i="8"/>
  <c r="M925" i="8"/>
  <c r="M695" i="8"/>
  <c r="M612" i="8"/>
  <c r="M328" i="8"/>
  <c r="M198" i="8"/>
  <c r="M316" i="8"/>
  <c r="M169" i="8"/>
  <c r="M615" i="8"/>
  <c r="M222" i="8"/>
  <c r="M784" i="8"/>
  <c r="M300" i="8"/>
  <c r="M829" i="8"/>
  <c r="M248" i="8"/>
  <c r="M821" i="8"/>
  <c r="M136" i="8"/>
  <c r="M822" i="8"/>
  <c r="M109" i="8"/>
  <c r="M112" i="8"/>
  <c r="M67" i="8"/>
  <c r="M122" i="8"/>
  <c r="M73" i="8"/>
  <c r="M182" i="8"/>
  <c r="M100" i="8"/>
  <c r="M746" i="8"/>
  <c r="M146" i="8"/>
  <c r="M728" i="8"/>
  <c r="M245" i="8"/>
  <c r="M735" i="8"/>
  <c r="M338" i="8"/>
  <c r="M753" i="8"/>
  <c r="M638" i="8"/>
  <c r="M883" i="8"/>
  <c r="M873" i="8"/>
  <c r="M908" i="8"/>
  <c r="M902" i="8"/>
  <c r="M32" i="8"/>
  <c r="M28" i="8"/>
  <c r="M66" i="8"/>
  <c r="M55" i="8"/>
  <c r="M238" i="8"/>
  <c r="M150" i="8"/>
  <c r="M651" i="8"/>
  <c r="M154" i="8"/>
  <c r="M749" i="8"/>
  <c r="M158" i="8"/>
  <c r="M817" i="8"/>
  <c r="M137" i="8"/>
  <c r="M866" i="8"/>
  <c r="M819" i="8"/>
  <c r="M888" i="8"/>
  <c r="M849" i="8"/>
  <c r="M889" i="8"/>
  <c r="M846" i="8"/>
  <c r="M862" i="8"/>
  <c r="M103" i="8"/>
  <c r="M833" i="8"/>
  <c r="M97" i="8"/>
  <c r="M762" i="8"/>
  <c r="M101" i="8"/>
  <c r="M736" i="8"/>
  <c r="M132" i="8"/>
  <c r="M765" i="8"/>
  <c r="M288" i="8"/>
  <c r="M802" i="8"/>
  <c r="M687" i="8"/>
  <c r="M754" i="8"/>
  <c r="M639" i="8"/>
  <c r="M251" i="8"/>
  <c r="M178" i="8"/>
  <c r="M11" i="8"/>
  <c r="M3" i="8"/>
  <c r="M937" i="8"/>
  <c r="M929" i="8"/>
  <c r="M718" i="8"/>
  <c r="M635" i="8"/>
  <c r="M286" i="8"/>
  <c r="M170" i="8"/>
  <c r="M267" i="8"/>
  <c r="M147" i="8"/>
  <c r="M673" i="8"/>
  <c r="M175" i="8"/>
  <c r="M809" i="8"/>
  <c r="M227" i="8"/>
  <c r="M838" i="8"/>
  <c r="M173" i="8"/>
  <c r="M840" i="8"/>
  <c r="M107" i="8"/>
  <c r="M844" i="8"/>
  <c r="M90" i="8"/>
  <c r="M91" i="8"/>
  <c r="M51" i="8"/>
  <c r="M96" i="8"/>
  <c r="M54" i="8"/>
  <c r="M125" i="8"/>
  <c r="M80" i="8"/>
  <c r="M801" i="8"/>
  <c r="M120" i="8"/>
  <c r="M775" i="8"/>
  <c r="M184" i="8"/>
  <c r="M773" i="8"/>
  <c r="M264" i="8"/>
  <c r="M787" i="8"/>
  <c r="M689" i="8"/>
  <c r="M886" i="8"/>
  <c r="M877" i="8"/>
  <c r="M910" i="8"/>
  <c r="M906" i="8"/>
  <c r="M83" i="8"/>
  <c r="M77" i="8"/>
  <c r="M181" i="8"/>
  <c r="M153" i="8"/>
  <c r="M409" i="8"/>
  <c r="M341" i="8"/>
  <c r="M427" i="8"/>
  <c r="M343" i="8"/>
  <c r="M570" i="8"/>
  <c r="M346" i="8"/>
  <c r="M649" i="8"/>
  <c r="M322" i="8"/>
  <c r="M764" i="8"/>
  <c r="M661" i="8"/>
  <c r="M806" i="8"/>
  <c r="M730" i="8"/>
  <c r="M807" i="8"/>
  <c r="M732" i="8"/>
  <c r="M756" i="8"/>
  <c r="M247" i="8"/>
  <c r="M676" i="8"/>
  <c r="M229" i="8"/>
  <c r="M584" i="8"/>
  <c r="M236" i="8"/>
  <c r="M559" i="8"/>
  <c r="M325" i="8"/>
  <c r="M580" i="8"/>
  <c r="M429" i="8"/>
  <c r="M608" i="8"/>
  <c r="M522" i="8"/>
  <c r="M564" i="8"/>
  <c r="M504" i="8"/>
  <c r="M423" i="8"/>
  <c r="M380" i="8"/>
  <c r="M27" i="8"/>
  <c r="M25" i="8"/>
  <c r="M915" i="8"/>
  <c r="M913" i="8"/>
  <c r="M538" i="8"/>
  <c r="M498" i="8"/>
  <c r="M440" i="8"/>
  <c r="M375" i="8"/>
  <c r="M431" i="8"/>
  <c r="M345" i="8"/>
  <c r="M518" i="8"/>
  <c r="M373" i="8"/>
  <c r="M633" i="8"/>
  <c r="M397" i="8"/>
  <c r="M708" i="8"/>
  <c r="M583" i="8"/>
  <c r="M714" i="8"/>
  <c r="M256" i="8"/>
  <c r="M722" i="8"/>
  <c r="M203" i="8"/>
  <c r="M207" i="8"/>
  <c r="M127" i="8"/>
  <c r="M219" i="8"/>
  <c r="M134" i="8"/>
  <c r="M301" i="8"/>
  <c r="M185" i="8"/>
  <c r="M623" i="8"/>
  <c r="M294" i="8"/>
  <c r="M589" i="8"/>
  <c r="M371" i="8"/>
  <c r="M586" i="8"/>
  <c r="M421" i="8"/>
  <c r="M591" i="8"/>
  <c r="M529" i="8"/>
  <c r="M794" i="8"/>
  <c r="M758" i="8"/>
  <c r="M857" i="8"/>
  <c r="M853" i="8"/>
  <c r="M84" i="8"/>
  <c r="B56" i="7"/>
  <c r="C110" i="7"/>
  <c r="D110" i="7" s="1"/>
  <c r="M69" i="7"/>
  <c r="J69" i="7"/>
  <c r="H69" i="7"/>
  <c r="E69" i="7"/>
  <c r="F69" i="7" s="1"/>
  <c r="G69" i="7" s="1"/>
  <c r="C69" i="7"/>
  <c r="D69" i="7" s="1"/>
  <c r="G24" i="7"/>
  <c r="G23" i="7"/>
  <c r="Q21" i="7"/>
  <c r="Q20" i="7"/>
  <c r="J120" i="7" s="1"/>
  <c r="Q19" i="7"/>
  <c r="B99" i="7" s="1"/>
  <c r="B101" i="7" s="1"/>
  <c r="L14" i="7"/>
  <c r="L13" i="7"/>
  <c r="L12" i="7"/>
  <c r="B56" i="3"/>
  <c r="B75" i="3" s="1"/>
  <c r="H83" i="12" l="1"/>
  <c r="C83" i="12"/>
  <c r="D83" i="12" s="1"/>
  <c r="M83" i="12"/>
  <c r="U17" i="11" a="1"/>
  <c r="W18" i="11" s="1"/>
  <c r="M52" i="12"/>
  <c r="J52" i="12"/>
  <c r="F117" i="12"/>
  <c r="G117" i="12" s="1"/>
  <c r="I117" i="12" s="1"/>
  <c r="Q117" i="12"/>
  <c r="Z17" i="13" a="1"/>
  <c r="G17" i="10"/>
  <c r="H17" i="10" a="1"/>
  <c r="H17" i="10" s="1"/>
  <c r="H16" i="10" a="1"/>
  <c r="H16" i="10" s="1"/>
  <c r="G16" i="10"/>
  <c r="H100" i="10" a="1"/>
  <c r="H100" i="10" s="1"/>
  <c r="G100" i="10"/>
  <c r="G102" i="10"/>
  <c r="H102" i="10" a="1"/>
  <c r="H102" i="10" s="1"/>
  <c r="E52" i="12"/>
  <c r="F52" i="12" s="1"/>
  <c r="G52" i="12" s="1"/>
  <c r="I52" i="12" s="1"/>
  <c r="C52" i="12"/>
  <c r="D52" i="12" s="1"/>
  <c r="E73" i="12"/>
  <c r="F73" i="12" s="1"/>
  <c r="G73" i="12" s="1"/>
  <c r="F124" i="12"/>
  <c r="G124" i="12" s="1"/>
  <c r="Q124" i="12"/>
  <c r="F83" i="12"/>
  <c r="G83" i="12" s="1"/>
  <c r="Q83" i="12"/>
  <c r="C76" i="12"/>
  <c r="D76" i="12" s="1"/>
  <c r="J76" i="12"/>
  <c r="K76" i="12" s="1"/>
  <c r="L76" i="12" s="1"/>
  <c r="X19" i="11"/>
  <c r="X17" i="11"/>
  <c r="W20" i="11"/>
  <c r="W19" i="11"/>
  <c r="H75" i="12"/>
  <c r="O77" i="12"/>
  <c r="R77" i="12" s="1"/>
  <c r="E75" i="12"/>
  <c r="F75" i="12" s="1"/>
  <c r="G75" i="12" s="1"/>
  <c r="M76" i="12"/>
  <c r="I56" i="12"/>
  <c r="M73" i="12"/>
  <c r="J73" i="12"/>
  <c r="E74" i="12"/>
  <c r="F74" i="12" s="1"/>
  <c r="G74" i="12" s="1"/>
  <c r="C74" i="12"/>
  <c r="D74" i="12" s="1"/>
  <c r="J74" i="12"/>
  <c r="H73" i="12"/>
  <c r="H74" i="12"/>
  <c r="C75" i="12"/>
  <c r="D75" i="12" s="1"/>
  <c r="J75" i="12"/>
  <c r="Q76" i="12"/>
  <c r="P77" i="12"/>
  <c r="S77" i="12" s="1"/>
  <c r="C36" i="12"/>
  <c r="D36" i="12" s="1"/>
  <c r="J36" i="12"/>
  <c r="K36" i="12" s="1"/>
  <c r="L36" i="12" s="1"/>
  <c r="P70" i="12"/>
  <c r="S70" i="12" s="1"/>
  <c r="E36" i="12"/>
  <c r="F36" i="12" s="1"/>
  <c r="G36" i="12" s="1"/>
  <c r="I36" i="12" s="1"/>
  <c r="I83" i="12"/>
  <c r="I124" i="12"/>
  <c r="O70" i="12"/>
  <c r="R70" i="12" s="1"/>
  <c r="M36" i="12"/>
  <c r="C69" i="12"/>
  <c r="D69" i="12" s="1"/>
  <c r="J69" i="12"/>
  <c r="E69" i="12"/>
  <c r="F69" i="12" s="1"/>
  <c r="G69" i="12" s="1"/>
  <c r="M69" i="12"/>
  <c r="H69" i="12"/>
  <c r="H58" i="12"/>
  <c r="C58" i="12"/>
  <c r="D58" i="12" s="1"/>
  <c r="M58" i="12"/>
  <c r="E58" i="12"/>
  <c r="F58" i="12" s="1"/>
  <c r="G58" i="12" s="1"/>
  <c r="J58" i="12"/>
  <c r="J45" i="12"/>
  <c r="E45" i="12"/>
  <c r="F45" i="12" s="1"/>
  <c r="G45" i="12" s="1"/>
  <c r="M45" i="12"/>
  <c r="H45" i="12"/>
  <c r="C45" i="12"/>
  <c r="D45" i="12" s="1"/>
  <c r="J53" i="12"/>
  <c r="M53" i="12"/>
  <c r="E53" i="12"/>
  <c r="F53" i="12" s="1"/>
  <c r="G53" i="12" s="1"/>
  <c r="H53" i="12"/>
  <c r="C53" i="12"/>
  <c r="D53" i="12" s="1"/>
  <c r="J59" i="12"/>
  <c r="M59" i="12"/>
  <c r="E59" i="12"/>
  <c r="F59" i="12" s="1"/>
  <c r="G59" i="12" s="1"/>
  <c r="C59" i="12"/>
  <c r="D59" i="12" s="1"/>
  <c r="H59" i="12"/>
  <c r="J62" i="12"/>
  <c r="M62" i="12"/>
  <c r="H62" i="12"/>
  <c r="C62" i="12"/>
  <c r="D62" i="12" s="1"/>
  <c r="E62" i="12"/>
  <c r="F62" i="12" s="1"/>
  <c r="G62" i="12" s="1"/>
  <c r="H54" i="12"/>
  <c r="C54" i="12"/>
  <c r="D54" i="12" s="1"/>
  <c r="M54" i="12"/>
  <c r="E54" i="12"/>
  <c r="F54" i="12" s="1"/>
  <c r="G54" i="12" s="1"/>
  <c r="J54" i="12"/>
  <c r="J39" i="12"/>
  <c r="E39" i="12"/>
  <c r="F39" i="12" s="1"/>
  <c r="G39" i="12" s="1"/>
  <c r="M39" i="12"/>
  <c r="C39" i="12"/>
  <c r="D39" i="12" s="1"/>
  <c r="H39" i="12"/>
  <c r="J47" i="12"/>
  <c r="E47" i="12"/>
  <c r="F47" i="12" s="1"/>
  <c r="G47" i="12" s="1"/>
  <c r="M47" i="12"/>
  <c r="C47" i="12"/>
  <c r="D47" i="12" s="1"/>
  <c r="H47" i="12"/>
  <c r="J55" i="12"/>
  <c r="M55" i="12"/>
  <c r="E55" i="12"/>
  <c r="F55" i="12" s="1"/>
  <c r="G55" i="12" s="1"/>
  <c r="C55" i="12"/>
  <c r="D55" i="12" s="1"/>
  <c r="H55" i="12"/>
  <c r="H65" i="12"/>
  <c r="M65" i="12"/>
  <c r="E65" i="12"/>
  <c r="F65" i="12" s="1"/>
  <c r="G65" i="12" s="1"/>
  <c r="C65" i="12"/>
  <c r="D65" i="12" s="1"/>
  <c r="J65" i="12"/>
  <c r="J64" i="12"/>
  <c r="M64" i="12"/>
  <c r="H64" i="12"/>
  <c r="C64" i="12"/>
  <c r="D64" i="12" s="1"/>
  <c r="E64" i="12"/>
  <c r="F64" i="12" s="1"/>
  <c r="G64" i="12" s="1"/>
  <c r="H63" i="12"/>
  <c r="J63" i="12"/>
  <c r="E63" i="12"/>
  <c r="F63" i="12" s="1"/>
  <c r="G63" i="12" s="1"/>
  <c r="M63" i="12"/>
  <c r="C63" i="12"/>
  <c r="D63" i="12" s="1"/>
  <c r="H38" i="12"/>
  <c r="M38" i="12"/>
  <c r="J38" i="12"/>
  <c r="C38" i="12"/>
  <c r="D38" i="12" s="1"/>
  <c r="E38" i="12"/>
  <c r="F38" i="12" s="1"/>
  <c r="G38" i="12" s="1"/>
  <c r="I38" i="12" s="1"/>
  <c r="M71" i="12"/>
  <c r="E71" i="12"/>
  <c r="F71" i="12" s="1"/>
  <c r="G71" i="12" s="1"/>
  <c r="J71" i="12"/>
  <c r="H71" i="12"/>
  <c r="C71" i="12"/>
  <c r="D71" i="12" s="1"/>
  <c r="H61" i="12"/>
  <c r="J61" i="12"/>
  <c r="E61" i="12"/>
  <c r="F61" i="12" s="1"/>
  <c r="G61" i="12" s="1"/>
  <c r="C61" i="12"/>
  <c r="D61" i="12" s="1"/>
  <c r="M61" i="12"/>
  <c r="H48" i="12"/>
  <c r="C48" i="12"/>
  <c r="D48" i="12" s="1"/>
  <c r="E48" i="12"/>
  <c r="F48" i="12" s="1"/>
  <c r="G48" i="12" s="1"/>
  <c r="M48" i="12"/>
  <c r="J48" i="12"/>
  <c r="B122" i="12"/>
  <c r="B120" i="12"/>
  <c r="B118" i="12"/>
  <c r="B115" i="12"/>
  <c r="B113" i="12"/>
  <c r="B111" i="12"/>
  <c r="B112" i="12"/>
  <c r="B106" i="12"/>
  <c r="C103" i="12"/>
  <c r="D103" i="12" s="1"/>
  <c r="B123" i="12"/>
  <c r="B119" i="12"/>
  <c r="B114" i="12"/>
  <c r="B108" i="12"/>
  <c r="B105" i="12"/>
  <c r="J103" i="12"/>
  <c r="B101" i="12"/>
  <c r="B99" i="12"/>
  <c r="B116" i="12"/>
  <c r="B109" i="12"/>
  <c r="H103" i="12"/>
  <c r="B102" i="12"/>
  <c r="B96" i="12"/>
  <c r="B94" i="12"/>
  <c r="B92" i="12"/>
  <c r="B90" i="12"/>
  <c r="B88" i="12"/>
  <c r="B86" i="12"/>
  <c r="B84" i="12"/>
  <c r="B107" i="12"/>
  <c r="E103" i="12"/>
  <c r="B95" i="12"/>
  <c r="B87" i="12"/>
  <c r="M103" i="12"/>
  <c r="B97" i="12"/>
  <c r="B89" i="12"/>
  <c r="B93" i="12"/>
  <c r="B91" i="12"/>
  <c r="B100" i="12"/>
  <c r="B98" i="12"/>
  <c r="B121" i="12"/>
  <c r="B110" i="12"/>
  <c r="B104" i="12"/>
  <c r="B85" i="12"/>
  <c r="K83" i="12"/>
  <c r="L83" i="12" s="1"/>
  <c r="N83" i="12" s="1"/>
  <c r="J41" i="12"/>
  <c r="M41" i="12"/>
  <c r="C41" i="12"/>
  <c r="D41" i="12" s="1"/>
  <c r="E41" i="12"/>
  <c r="F41" i="12" s="1"/>
  <c r="G41" i="12" s="1"/>
  <c r="H41" i="12"/>
  <c r="J49" i="12"/>
  <c r="H49" i="12"/>
  <c r="E49" i="12"/>
  <c r="F49" i="12" s="1"/>
  <c r="G49" i="12" s="1"/>
  <c r="M49" i="12"/>
  <c r="C49" i="12"/>
  <c r="D49" i="12" s="1"/>
  <c r="C72" i="12"/>
  <c r="D72" i="12" s="1"/>
  <c r="M72" i="12"/>
  <c r="H72" i="12"/>
  <c r="E72" i="12"/>
  <c r="F72" i="12" s="1"/>
  <c r="G72" i="12" s="1"/>
  <c r="J72" i="12"/>
  <c r="J66" i="12"/>
  <c r="E66" i="12"/>
  <c r="F66" i="12" s="1"/>
  <c r="G66" i="12" s="1"/>
  <c r="M66" i="12"/>
  <c r="C66" i="12"/>
  <c r="D66" i="12" s="1"/>
  <c r="H66" i="12"/>
  <c r="K52" i="12"/>
  <c r="L52" i="12" s="1"/>
  <c r="N52" i="12" s="1"/>
  <c r="Q52" i="12"/>
  <c r="Q44" i="12"/>
  <c r="K44" i="12"/>
  <c r="L44" i="12" s="1"/>
  <c r="N44" i="12" s="1"/>
  <c r="O44" i="12" s="1"/>
  <c r="H46" i="12"/>
  <c r="M46" i="12"/>
  <c r="J46" i="12"/>
  <c r="E46" i="12"/>
  <c r="F46" i="12" s="1"/>
  <c r="G46" i="12" s="1"/>
  <c r="C46" i="12"/>
  <c r="D46" i="12" s="1"/>
  <c r="K124" i="12"/>
  <c r="L124" i="12" s="1"/>
  <c r="N124" i="12" s="1"/>
  <c r="H50" i="12"/>
  <c r="M50" i="12"/>
  <c r="E50" i="12"/>
  <c r="F50" i="12" s="1"/>
  <c r="G50" i="12" s="1"/>
  <c r="J50" i="12"/>
  <c r="C50" i="12"/>
  <c r="D50" i="12" s="1"/>
  <c r="K56" i="12"/>
  <c r="L56" i="12" s="1"/>
  <c r="N56" i="12" s="1"/>
  <c r="Q56" i="12"/>
  <c r="H40" i="12"/>
  <c r="C40" i="12"/>
  <c r="D40" i="12" s="1"/>
  <c r="E40" i="12"/>
  <c r="F40" i="12" s="1"/>
  <c r="G40" i="12" s="1"/>
  <c r="M40" i="12"/>
  <c r="J40" i="12"/>
  <c r="H42" i="12"/>
  <c r="J42" i="12"/>
  <c r="E42" i="12"/>
  <c r="F42" i="12" s="1"/>
  <c r="G42" i="12" s="1"/>
  <c r="C42" i="12"/>
  <c r="D42" i="12" s="1"/>
  <c r="M42" i="12"/>
  <c r="H67" i="12"/>
  <c r="C67" i="12"/>
  <c r="D67" i="12" s="1"/>
  <c r="M67" i="12"/>
  <c r="E67" i="12"/>
  <c r="F67" i="12" s="1"/>
  <c r="G67" i="12" s="1"/>
  <c r="J67" i="12"/>
  <c r="J43" i="12"/>
  <c r="M43" i="12"/>
  <c r="H43" i="12"/>
  <c r="C43" i="12"/>
  <c r="D43" i="12" s="1"/>
  <c r="E43" i="12"/>
  <c r="F43" i="12" s="1"/>
  <c r="G43" i="12" s="1"/>
  <c r="J51" i="12"/>
  <c r="M51" i="12"/>
  <c r="E51" i="12"/>
  <c r="F51" i="12" s="1"/>
  <c r="G51" i="12" s="1"/>
  <c r="C51" i="12"/>
  <c r="D51" i="12" s="1"/>
  <c r="H51" i="12"/>
  <c r="J57" i="12"/>
  <c r="M57" i="12"/>
  <c r="E57" i="12"/>
  <c r="F57" i="12" s="1"/>
  <c r="G57" i="12" s="1"/>
  <c r="H57" i="12"/>
  <c r="C57" i="12"/>
  <c r="D57" i="12" s="1"/>
  <c r="J60" i="12"/>
  <c r="E60" i="12"/>
  <c r="F60" i="12" s="1"/>
  <c r="G60" i="12" s="1"/>
  <c r="M60" i="12"/>
  <c r="C60" i="12"/>
  <c r="D60" i="12" s="1"/>
  <c r="H60" i="12"/>
  <c r="J68" i="12"/>
  <c r="E68" i="12"/>
  <c r="F68" i="12" s="1"/>
  <c r="G68" i="12" s="1"/>
  <c r="H68" i="12"/>
  <c r="M68" i="12"/>
  <c r="C68" i="12"/>
  <c r="D68" i="12" s="1"/>
  <c r="J37" i="12"/>
  <c r="M37" i="12"/>
  <c r="H37" i="12"/>
  <c r="C37" i="12"/>
  <c r="D37" i="12" s="1"/>
  <c r="E37" i="12"/>
  <c r="F37" i="12" s="1"/>
  <c r="G37" i="12" s="1"/>
  <c r="B58" i="7"/>
  <c r="T78" i="7"/>
  <c r="W78" i="7" s="1"/>
  <c r="K120" i="7"/>
  <c r="L120" i="7" s="1"/>
  <c r="M120" i="7"/>
  <c r="T35" i="7"/>
  <c r="W35" i="7" s="1"/>
  <c r="K69" i="7"/>
  <c r="L69" i="7" s="1"/>
  <c r="N69" i="7" s="1"/>
  <c r="V69" i="7"/>
  <c r="H120" i="7"/>
  <c r="E120" i="7"/>
  <c r="B117" i="7"/>
  <c r="B113" i="7"/>
  <c r="AC40" i="10" a="1"/>
  <c r="AC40" i="10" s="1"/>
  <c r="AL39" i="10" s="1"/>
  <c r="AC41" i="10" a="1"/>
  <c r="AC41" i="10" s="1"/>
  <c r="AL41" i="10" s="1"/>
  <c r="F18" i="11"/>
  <c r="F16" i="11"/>
  <c r="B76" i="3"/>
  <c r="C76" i="3" s="1"/>
  <c r="B108" i="7"/>
  <c r="B104" i="7"/>
  <c r="B100" i="7"/>
  <c r="B116" i="7"/>
  <c r="B112" i="7"/>
  <c r="B107" i="7"/>
  <c r="B103" i="7"/>
  <c r="B119" i="7"/>
  <c r="B115" i="7"/>
  <c r="B111" i="7"/>
  <c r="B106" i="7"/>
  <c r="B102" i="7"/>
  <c r="B118" i="7"/>
  <c r="B114" i="7"/>
  <c r="B109" i="7"/>
  <c r="B105" i="7"/>
  <c r="B70" i="7"/>
  <c r="M70" i="7" s="1"/>
  <c r="B61" i="7"/>
  <c r="B65" i="7"/>
  <c r="B64" i="7"/>
  <c r="B57" i="7"/>
  <c r="B68" i="7"/>
  <c r="E68" i="7" s="1"/>
  <c r="F68" i="7" s="1"/>
  <c r="G68" i="7" s="1"/>
  <c r="B60" i="7"/>
  <c r="B72" i="7"/>
  <c r="M72" i="7" s="1"/>
  <c r="B67" i="7"/>
  <c r="M67" i="7" s="1"/>
  <c r="B63" i="7"/>
  <c r="B59" i="7"/>
  <c r="B71" i="7"/>
  <c r="B66" i="7"/>
  <c r="B62" i="7"/>
  <c r="C75" i="3"/>
  <c r="D75" i="3" s="1"/>
  <c r="M75" i="3"/>
  <c r="R75" i="3"/>
  <c r="J75" i="3"/>
  <c r="K75" i="3" s="1"/>
  <c r="L75" i="3" s="1"/>
  <c r="E75" i="3"/>
  <c r="F75" i="3" s="1"/>
  <c r="G75" i="3" s="1"/>
  <c r="O75" i="3"/>
  <c r="H75" i="3"/>
  <c r="B61" i="3"/>
  <c r="B60" i="3"/>
  <c r="B57" i="3"/>
  <c r="B63" i="3"/>
  <c r="B59" i="3"/>
  <c r="B72" i="3"/>
  <c r="M72" i="3" s="1"/>
  <c r="B68" i="3"/>
  <c r="E68" i="3" s="1"/>
  <c r="F68" i="3" s="1"/>
  <c r="G68" i="3" s="1"/>
  <c r="B66" i="3"/>
  <c r="B74" i="3"/>
  <c r="R74" i="3" s="1"/>
  <c r="B70" i="3"/>
  <c r="E70" i="3" s="1"/>
  <c r="F70" i="3" s="1"/>
  <c r="G70" i="3" s="1"/>
  <c r="B64" i="3"/>
  <c r="B71" i="3"/>
  <c r="M71" i="3" s="1"/>
  <c r="B67" i="3"/>
  <c r="B62" i="3"/>
  <c r="B58" i="3"/>
  <c r="B73" i="3"/>
  <c r="M73" i="3" s="1"/>
  <c r="B69" i="3"/>
  <c r="M69" i="3" s="1"/>
  <c r="M70" i="3"/>
  <c r="E73" i="7"/>
  <c r="F73" i="7" s="1"/>
  <c r="G73" i="7" s="1"/>
  <c r="M73" i="7"/>
  <c r="H73" i="7"/>
  <c r="J73" i="7"/>
  <c r="B41" i="7"/>
  <c r="B52" i="7"/>
  <c r="B44" i="7"/>
  <c r="B55" i="7"/>
  <c r="B40" i="7"/>
  <c r="B51" i="7"/>
  <c r="B43" i="7"/>
  <c r="B47" i="7"/>
  <c r="B37" i="7"/>
  <c r="B48" i="7"/>
  <c r="B39" i="7"/>
  <c r="B54" i="7"/>
  <c r="B50" i="7"/>
  <c r="B46" i="7"/>
  <c r="B42" i="7"/>
  <c r="B38" i="7"/>
  <c r="B53" i="7"/>
  <c r="B49" i="7"/>
  <c r="B45" i="7"/>
  <c r="M110" i="7"/>
  <c r="J110" i="7"/>
  <c r="L16" i="7"/>
  <c r="H110" i="7"/>
  <c r="E110" i="7"/>
  <c r="B79" i="7"/>
  <c r="I69" i="7"/>
  <c r="U18" i="11" l="1"/>
  <c r="U19" i="11"/>
  <c r="U20" i="11"/>
  <c r="U17" i="11"/>
  <c r="W17" i="11"/>
  <c r="X18" i="11"/>
  <c r="X20" i="11"/>
  <c r="V17" i="11"/>
  <c r="V18" i="11"/>
  <c r="V19" i="11"/>
  <c r="V20" i="11"/>
  <c r="F120" i="7"/>
  <c r="G120" i="7" s="1"/>
  <c r="I120" i="7" s="1"/>
  <c r="V120" i="7"/>
  <c r="AA17" i="13"/>
  <c r="AC20" i="13"/>
  <c r="AC18" i="13"/>
  <c r="AE18" i="13" s="1"/>
  <c r="AC19" i="13"/>
  <c r="AC17" i="13"/>
  <c r="Z20" i="13"/>
  <c r="Z18" i="13"/>
  <c r="Z17" i="13"/>
  <c r="Z19" i="13"/>
  <c r="AA20" i="13"/>
  <c r="AD20" i="13" s="1"/>
  <c r="AA18" i="13"/>
  <c r="AD18" i="13" s="1"/>
  <c r="AA19" i="13"/>
  <c r="AD19" i="13" s="1"/>
  <c r="AB20" i="13"/>
  <c r="AB18" i="13"/>
  <c r="AB19" i="13"/>
  <c r="AB17" i="13"/>
  <c r="F110" i="7"/>
  <c r="G110" i="7" s="1"/>
  <c r="V110" i="7"/>
  <c r="Z18" i="11"/>
  <c r="Z19" i="11"/>
  <c r="Z20" i="11"/>
  <c r="P117" i="12"/>
  <c r="S117" i="12" s="1"/>
  <c r="O117" i="12"/>
  <c r="R117" i="12" s="1"/>
  <c r="Y19" i="11"/>
  <c r="Y20" i="11"/>
  <c r="Y18" i="11"/>
  <c r="I73" i="12"/>
  <c r="I75" i="12"/>
  <c r="F103" i="12"/>
  <c r="G103" i="12" s="1"/>
  <c r="I103" i="12" s="1"/>
  <c r="Q103" i="12"/>
  <c r="AB41" i="10"/>
  <c r="AK41" i="10" s="1"/>
  <c r="AB40" i="10"/>
  <c r="AK39" i="10" s="1"/>
  <c r="I74" i="12"/>
  <c r="N76" i="12"/>
  <c r="O76" i="12" s="1"/>
  <c r="R76" i="12" s="1"/>
  <c r="Q36" i="12"/>
  <c r="K73" i="12"/>
  <c r="L73" i="12" s="1"/>
  <c r="N73" i="12" s="1"/>
  <c r="Q73" i="12"/>
  <c r="P56" i="12"/>
  <c r="S56" i="12" s="1"/>
  <c r="O52" i="12"/>
  <c r="R52" i="12" s="1"/>
  <c r="K75" i="12"/>
  <c r="L75" i="12" s="1"/>
  <c r="N75" i="12" s="1"/>
  <c r="Q75" i="12"/>
  <c r="Q74" i="12"/>
  <c r="K74" i="12"/>
  <c r="L74" i="12" s="1"/>
  <c r="N74" i="12" s="1"/>
  <c r="P74" i="12" s="1"/>
  <c r="P124" i="12"/>
  <c r="S124" i="12" s="1"/>
  <c r="P83" i="12"/>
  <c r="S83" i="12" s="1"/>
  <c r="I53" i="12"/>
  <c r="R44" i="12"/>
  <c r="I67" i="12"/>
  <c r="I41" i="12"/>
  <c r="I62" i="12"/>
  <c r="I46" i="12"/>
  <c r="N36" i="12"/>
  <c r="P36" i="12" s="1"/>
  <c r="I58" i="12"/>
  <c r="P44" i="12"/>
  <c r="S44" i="12" s="1"/>
  <c r="I71" i="12"/>
  <c r="I47" i="12"/>
  <c r="P52" i="12"/>
  <c r="S52" i="12" s="1"/>
  <c r="I51" i="12"/>
  <c r="I40" i="12"/>
  <c r="I49" i="12"/>
  <c r="O56" i="12"/>
  <c r="R56" i="12" s="1"/>
  <c r="I48" i="12"/>
  <c r="I65" i="12"/>
  <c r="I39" i="12"/>
  <c r="I69" i="12"/>
  <c r="Q62" i="12"/>
  <c r="K62" i="12"/>
  <c r="L62" i="12" s="1"/>
  <c r="N62" i="12" s="1"/>
  <c r="O83" i="12"/>
  <c r="R83" i="12" s="1"/>
  <c r="O124" i="12"/>
  <c r="R124" i="12" s="1"/>
  <c r="Q57" i="12"/>
  <c r="K57" i="12"/>
  <c r="L57" i="12" s="1"/>
  <c r="N57" i="12" s="1"/>
  <c r="H85" i="12"/>
  <c r="J85" i="12"/>
  <c r="E85" i="12"/>
  <c r="C85" i="12"/>
  <c r="D85" i="12" s="1"/>
  <c r="M85" i="12"/>
  <c r="H89" i="12"/>
  <c r="C89" i="12"/>
  <c r="D89" i="12" s="1"/>
  <c r="M89" i="12"/>
  <c r="J89" i="12"/>
  <c r="E89" i="12"/>
  <c r="J86" i="12"/>
  <c r="M86" i="12"/>
  <c r="H86" i="12"/>
  <c r="C86" i="12"/>
  <c r="D86" i="12" s="1"/>
  <c r="E86" i="12"/>
  <c r="C109" i="12"/>
  <c r="D109" i="12" s="1"/>
  <c r="J109" i="12"/>
  <c r="H109" i="12"/>
  <c r="M109" i="12"/>
  <c r="E109" i="12"/>
  <c r="H119" i="12"/>
  <c r="C119" i="12"/>
  <c r="D119" i="12" s="1"/>
  <c r="M119" i="12"/>
  <c r="E119" i="12"/>
  <c r="J119" i="12"/>
  <c r="J118" i="12"/>
  <c r="M118" i="12"/>
  <c r="E118" i="12"/>
  <c r="C118" i="12"/>
  <c r="D118" i="12" s="1"/>
  <c r="H118" i="12"/>
  <c r="Q63" i="12"/>
  <c r="K63" i="12"/>
  <c r="L63" i="12" s="1"/>
  <c r="N63" i="12" s="1"/>
  <c r="I68" i="12"/>
  <c r="Q51" i="12"/>
  <c r="K51" i="12"/>
  <c r="L51" i="12" s="1"/>
  <c r="N51" i="12" s="1"/>
  <c r="K40" i="12"/>
  <c r="L40" i="12" s="1"/>
  <c r="N40" i="12" s="1"/>
  <c r="P40" i="12" s="1"/>
  <c r="Q40" i="12"/>
  <c r="Q46" i="12"/>
  <c r="K46" i="12"/>
  <c r="L46" i="12" s="1"/>
  <c r="N46" i="12" s="1"/>
  <c r="K72" i="12"/>
  <c r="L72" i="12" s="1"/>
  <c r="N72" i="12" s="1"/>
  <c r="Q72" i="12"/>
  <c r="M104" i="12"/>
  <c r="E104" i="12"/>
  <c r="H104" i="12"/>
  <c r="J104" i="12"/>
  <c r="C104" i="12"/>
  <c r="D104" i="12" s="1"/>
  <c r="M100" i="12"/>
  <c r="E100" i="12"/>
  <c r="H100" i="12"/>
  <c r="C100" i="12"/>
  <c r="D100" i="12" s="1"/>
  <c r="J100" i="12"/>
  <c r="J97" i="12"/>
  <c r="M97" i="12"/>
  <c r="H97" i="12"/>
  <c r="C97" i="12"/>
  <c r="D97" i="12" s="1"/>
  <c r="E97" i="12"/>
  <c r="J88" i="12"/>
  <c r="E88" i="12"/>
  <c r="M88" i="12"/>
  <c r="C88" i="12"/>
  <c r="D88" i="12" s="1"/>
  <c r="H88" i="12"/>
  <c r="J96" i="12"/>
  <c r="E96" i="12"/>
  <c r="C96" i="12"/>
  <c r="D96" i="12" s="1"/>
  <c r="H96" i="12"/>
  <c r="M96" i="12"/>
  <c r="H116" i="12"/>
  <c r="C116" i="12"/>
  <c r="D116" i="12" s="1"/>
  <c r="M116" i="12"/>
  <c r="J116" i="12"/>
  <c r="E116" i="12"/>
  <c r="C105" i="12"/>
  <c r="D105" i="12" s="1"/>
  <c r="J105" i="12"/>
  <c r="M105" i="12"/>
  <c r="H105" i="12"/>
  <c r="E105" i="12"/>
  <c r="H123" i="12"/>
  <c r="C123" i="12"/>
  <c r="D123" i="12" s="1"/>
  <c r="M123" i="12"/>
  <c r="E123" i="12"/>
  <c r="J123" i="12"/>
  <c r="C111" i="12"/>
  <c r="D111" i="12" s="1"/>
  <c r="J111" i="12"/>
  <c r="M111" i="12"/>
  <c r="E111" i="12"/>
  <c r="H111" i="12"/>
  <c r="J120" i="12"/>
  <c r="M120" i="12"/>
  <c r="E120" i="12"/>
  <c r="C120" i="12"/>
  <c r="D120" i="12" s="1"/>
  <c r="H120" i="12"/>
  <c r="K47" i="12"/>
  <c r="L47" i="12" s="1"/>
  <c r="N47" i="12" s="1"/>
  <c r="Q47" i="12"/>
  <c r="K54" i="12"/>
  <c r="L54" i="12" s="1"/>
  <c r="N54" i="12" s="1"/>
  <c r="Q54" i="12"/>
  <c r="K59" i="12"/>
  <c r="L59" i="12" s="1"/>
  <c r="N59" i="12" s="1"/>
  <c r="Q59" i="12"/>
  <c r="K66" i="12"/>
  <c r="L66" i="12" s="1"/>
  <c r="N66" i="12" s="1"/>
  <c r="Q66" i="12"/>
  <c r="H98" i="12"/>
  <c r="M98" i="12"/>
  <c r="E98" i="12"/>
  <c r="J98" i="12"/>
  <c r="C98" i="12"/>
  <c r="D98" i="12" s="1"/>
  <c r="H95" i="12"/>
  <c r="M95" i="12"/>
  <c r="E95" i="12"/>
  <c r="J95" i="12"/>
  <c r="C95" i="12"/>
  <c r="D95" i="12" s="1"/>
  <c r="J94" i="12"/>
  <c r="M94" i="12"/>
  <c r="H94" i="12"/>
  <c r="C94" i="12"/>
  <c r="D94" i="12" s="1"/>
  <c r="E94" i="12"/>
  <c r="K103" i="12"/>
  <c r="L103" i="12" s="1"/>
  <c r="N103" i="12" s="1"/>
  <c r="M112" i="12"/>
  <c r="E112" i="12"/>
  <c r="H112" i="12"/>
  <c r="J112" i="12"/>
  <c r="C112" i="12"/>
  <c r="D112" i="12" s="1"/>
  <c r="Q55" i="12"/>
  <c r="K55" i="12"/>
  <c r="L55" i="12" s="1"/>
  <c r="N55" i="12" s="1"/>
  <c r="I37" i="12"/>
  <c r="Q37" i="12"/>
  <c r="K37" i="12"/>
  <c r="L37" i="12" s="1"/>
  <c r="N37" i="12" s="1"/>
  <c r="K50" i="12"/>
  <c r="L50" i="12" s="1"/>
  <c r="N50" i="12" s="1"/>
  <c r="Q50" i="12"/>
  <c r="Q68" i="12"/>
  <c r="K68" i="12"/>
  <c r="L68" i="12" s="1"/>
  <c r="N68" i="12" s="1"/>
  <c r="I60" i="12"/>
  <c r="I57" i="12"/>
  <c r="I43" i="12"/>
  <c r="K43" i="12"/>
  <c r="L43" i="12" s="1"/>
  <c r="N43" i="12" s="1"/>
  <c r="Q43" i="12"/>
  <c r="I42" i="12"/>
  <c r="I50" i="12"/>
  <c r="I72" i="12"/>
  <c r="Q49" i="12"/>
  <c r="K49" i="12"/>
  <c r="L49" i="12" s="1"/>
  <c r="N49" i="12" s="1"/>
  <c r="M110" i="12"/>
  <c r="E110" i="12"/>
  <c r="H110" i="12"/>
  <c r="C110" i="12"/>
  <c r="D110" i="12" s="1"/>
  <c r="J110" i="12"/>
  <c r="H91" i="12"/>
  <c r="J91" i="12"/>
  <c r="E91" i="12"/>
  <c r="C91" i="12"/>
  <c r="D91" i="12" s="1"/>
  <c r="M91" i="12"/>
  <c r="C107" i="12"/>
  <c r="D107" i="12" s="1"/>
  <c r="J107" i="12"/>
  <c r="E107" i="12"/>
  <c r="M107" i="12"/>
  <c r="H107" i="12"/>
  <c r="J90" i="12"/>
  <c r="E90" i="12"/>
  <c r="M90" i="12"/>
  <c r="C90" i="12"/>
  <c r="D90" i="12" s="1"/>
  <c r="H90" i="12"/>
  <c r="M102" i="12"/>
  <c r="E102" i="12"/>
  <c r="H102" i="12"/>
  <c r="J102" i="12"/>
  <c r="C102" i="12"/>
  <c r="D102" i="12" s="1"/>
  <c r="C99" i="12"/>
  <c r="D99" i="12" s="1"/>
  <c r="J99" i="12"/>
  <c r="H99" i="12"/>
  <c r="M99" i="12"/>
  <c r="E99" i="12"/>
  <c r="M108" i="12"/>
  <c r="E108" i="12"/>
  <c r="H108" i="12"/>
  <c r="C108" i="12"/>
  <c r="D108" i="12" s="1"/>
  <c r="J108" i="12"/>
  <c r="C113" i="12"/>
  <c r="D113" i="12" s="1"/>
  <c r="J113" i="12"/>
  <c r="H113" i="12"/>
  <c r="M113" i="12"/>
  <c r="E113" i="12"/>
  <c r="J122" i="12"/>
  <c r="M122" i="12"/>
  <c r="E122" i="12"/>
  <c r="H122" i="12"/>
  <c r="C122" i="12"/>
  <c r="D122" i="12" s="1"/>
  <c r="I61" i="12"/>
  <c r="Q38" i="12"/>
  <c r="K38" i="12"/>
  <c r="L38" i="12" s="1"/>
  <c r="N38" i="12" s="1"/>
  <c r="O38" i="12" s="1"/>
  <c r="I64" i="12"/>
  <c r="K64" i="12"/>
  <c r="L64" i="12" s="1"/>
  <c r="N64" i="12" s="1"/>
  <c r="Q64" i="12"/>
  <c r="I55" i="12"/>
  <c r="K39" i="12"/>
  <c r="L39" i="12" s="1"/>
  <c r="N39" i="12" s="1"/>
  <c r="Q39" i="12"/>
  <c r="I54" i="12"/>
  <c r="Q53" i="12"/>
  <c r="K53" i="12"/>
  <c r="L53" i="12" s="1"/>
  <c r="N53" i="12" s="1"/>
  <c r="I45" i="12"/>
  <c r="K58" i="12"/>
  <c r="L58" i="12" s="1"/>
  <c r="N58" i="12" s="1"/>
  <c r="Q58" i="12"/>
  <c r="K69" i="12"/>
  <c r="L69" i="12" s="1"/>
  <c r="N69" i="12" s="1"/>
  <c r="Q69" i="12"/>
  <c r="Q60" i="12"/>
  <c r="K60" i="12"/>
  <c r="L60" i="12" s="1"/>
  <c r="N60" i="12" s="1"/>
  <c r="Q67" i="12"/>
  <c r="K67" i="12"/>
  <c r="L67" i="12" s="1"/>
  <c r="N67" i="12" s="1"/>
  <c r="P67" i="12" s="1"/>
  <c r="K42" i="12"/>
  <c r="L42" i="12" s="1"/>
  <c r="N42" i="12" s="1"/>
  <c r="Q42" i="12"/>
  <c r="I66" i="12"/>
  <c r="Q41" i="12"/>
  <c r="K41" i="12"/>
  <c r="L41" i="12" s="1"/>
  <c r="N41" i="12" s="1"/>
  <c r="H121" i="12"/>
  <c r="C121" i="12"/>
  <c r="D121" i="12" s="1"/>
  <c r="J121" i="12"/>
  <c r="M121" i="12"/>
  <c r="E121" i="12"/>
  <c r="H93" i="12"/>
  <c r="J93" i="12"/>
  <c r="E93" i="12"/>
  <c r="M93" i="12"/>
  <c r="C93" i="12"/>
  <c r="D93" i="12" s="1"/>
  <c r="H87" i="12"/>
  <c r="M87" i="12"/>
  <c r="C87" i="12"/>
  <c r="D87" i="12" s="1"/>
  <c r="E87" i="12"/>
  <c r="J87" i="12"/>
  <c r="J84" i="12"/>
  <c r="M84" i="12"/>
  <c r="H84" i="12"/>
  <c r="C84" i="12"/>
  <c r="D84" i="12" s="1"/>
  <c r="E84" i="12"/>
  <c r="J92" i="12"/>
  <c r="M92" i="12"/>
  <c r="H92" i="12"/>
  <c r="C92" i="12"/>
  <c r="D92" i="12" s="1"/>
  <c r="E92" i="12"/>
  <c r="C101" i="12"/>
  <c r="D101" i="12" s="1"/>
  <c r="J101" i="12"/>
  <c r="H101" i="12"/>
  <c r="E101" i="12"/>
  <c r="M101" i="12"/>
  <c r="H114" i="12"/>
  <c r="C114" i="12"/>
  <c r="D114" i="12" s="1"/>
  <c r="M114" i="12"/>
  <c r="E114" i="12"/>
  <c r="J114" i="12"/>
  <c r="M106" i="12"/>
  <c r="E106" i="12"/>
  <c r="C106" i="12"/>
  <c r="D106" i="12" s="1"/>
  <c r="H106" i="12"/>
  <c r="J106" i="12"/>
  <c r="J115" i="12"/>
  <c r="M115" i="12"/>
  <c r="E115" i="12"/>
  <c r="C115" i="12"/>
  <c r="D115" i="12" s="1"/>
  <c r="H115" i="12"/>
  <c r="Q48" i="12"/>
  <c r="K48" i="12"/>
  <c r="L48" i="12" s="1"/>
  <c r="N48" i="12" s="1"/>
  <c r="Q61" i="12"/>
  <c r="K61" i="12"/>
  <c r="L61" i="12" s="1"/>
  <c r="N61" i="12" s="1"/>
  <c r="Q71" i="12"/>
  <c r="K71" i="12"/>
  <c r="L71" i="12" s="1"/>
  <c r="N71" i="12" s="1"/>
  <c r="O71" i="12" s="1"/>
  <c r="I63" i="12"/>
  <c r="Q65" i="12"/>
  <c r="K65" i="12"/>
  <c r="L65" i="12" s="1"/>
  <c r="N65" i="12" s="1"/>
  <c r="I59" i="12"/>
  <c r="Q45" i="12"/>
  <c r="K45" i="12"/>
  <c r="L45" i="12" s="1"/>
  <c r="N45" i="12" s="1"/>
  <c r="N120" i="7"/>
  <c r="U69" i="7"/>
  <c r="X69" i="7" s="1"/>
  <c r="O76" i="3"/>
  <c r="P76" i="3" s="1"/>
  <c r="Q76" i="3" s="1"/>
  <c r="O68" i="3"/>
  <c r="V68" i="3" s="1"/>
  <c r="K73" i="7"/>
  <c r="L73" i="7" s="1"/>
  <c r="N73" i="7" s="1"/>
  <c r="V73" i="7"/>
  <c r="K110" i="7"/>
  <c r="L110" i="7" s="1"/>
  <c r="N110" i="7" s="1"/>
  <c r="T69" i="7"/>
  <c r="W69" i="7" s="1"/>
  <c r="P75" i="3"/>
  <c r="Q75" i="3" s="1"/>
  <c r="S75" i="3" s="1"/>
  <c r="V75" i="3"/>
  <c r="H68" i="3"/>
  <c r="H70" i="3"/>
  <c r="M68" i="3"/>
  <c r="H72" i="3"/>
  <c r="O72" i="3"/>
  <c r="O70" i="3"/>
  <c r="O73" i="3"/>
  <c r="H73" i="3"/>
  <c r="E71" i="3"/>
  <c r="F71" i="3" s="1"/>
  <c r="G71" i="3" s="1"/>
  <c r="E73" i="3"/>
  <c r="F73" i="3" s="1"/>
  <c r="G73" i="3" s="1"/>
  <c r="O69" i="3"/>
  <c r="H69" i="3"/>
  <c r="E74" i="3"/>
  <c r="F74" i="3" s="1"/>
  <c r="G74" i="3" s="1"/>
  <c r="C74" i="3"/>
  <c r="D74" i="3" s="1"/>
  <c r="H74" i="3"/>
  <c r="E69" i="3"/>
  <c r="F69" i="3" s="1"/>
  <c r="G69" i="3" s="1"/>
  <c r="E72" i="3"/>
  <c r="F72" i="3" s="1"/>
  <c r="G72" i="3" s="1"/>
  <c r="M74" i="3"/>
  <c r="O71" i="3"/>
  <c r="O74" i="3"/>
  <c r="H71" i="3"/>
  <c r="J74" i="3"/>
  <c r="K74" i="3" s="1"/>
  <c r="L74" i="3" s="1"/>
  <c r="D76" i="3"/>
  <c r="J76" i="3"/>
  <c r="K76" i="3" s="1"/>
  <c r="L76" i="3" s="1"/>
  <c r="M76" i="3"/>
  <c r="E76" i="3"/>
  <c r="F76" i="3" s="1"/>
  <c r="G76" i="3" s="1"/>
  <c r="R76" i="3"/>
  <c r="H76" i="3"/>
  <c r="C70" i="3"/>
  <c r="D70" i="3" s="1"/>
  <c r="J70" i="3"/>
  <c r="K70" i="3" s="1"/>
  <c r="L70" i="3" s="1"/>
  <c r="R70" i="3"/>
  <c r="C68" i="3"/>
  <c r="D68" i="3" s="1"/>
  <c r="R68" i="3"/>
  <c r="J68" i="3"/>
  <c r="K68" i="3" s="1"/>
  <c r="L68" i="3" s="1"/>
  <c r="C69" i="3"/>
  <c r="D69" i="3" s="1"/>
  <c r="J69" i="3"/>
  <c r="K69" i="3" s="1"/>
  <c r="L69" i="3" s="1"/>
  <c r="R69" i="3"/>
  <c r="C72" i="3"/>
  <c r="D72" i="3" s="1"/>
  <c r="J72" i="3"/>
  <c r="K72" i="3" s="1"/>
  <c r="L72" i="3" s="1"/>
  <c r="R72" i="3"/>
  <c r="C73" i="3"/>
  <c r="D73" i="3" s="1"/>
  <c r="R73" i="3"/>
  <c r="J73" i="3"/>
  <c r="K73" i="3" s="1"/>
  <c r="L73" i="3" s="1"/>
  <c r="C71" i="3"/>
  <c r="D71" i="3" s="1"/>
  <c r="R71" i="3"/>
  <c r="J71" i="3"/>
  <c r="K71" i="3" s="1"/>
  <c r="L71" i="3" s="1"/>
  <c r="I73" i="7"/>
  <c r="M68" i="7"/>
  <c r="H67" i="7"/>
  <c r="E67" i="7"/>
  <c r="F67" i="7" s="1"/>
  <c r="G67" i="7" s="1"/>
  <c r="C72" i="7"/>
  <c r="D72" i="7" s="1"/>
  <c r="J72" i="7"/>
  <c r="C67" i="7"/>
  <c r="D67" i="7" s="1"/>
  <c r="J67" i="7"/>
  <c r="H68" i="7"/>
  <c r="I68" i="7" s="1"/>
  <c r="J68" i="7"/>
  <c r="C68" i="7"/>
  <c r="D68" i="7" s="1"/>
  <c r="E71" i="7"/>
  <c r="F71" i="7" s="1"/>
  <c r="G71" i="7" s="1"/>
  <c r="H71" i="7"/>
  <c r="M71" i="7"/>
  <c r="C71" i="7"/>
  <c r="D71" i="7" s="1"/>
  <c r="J71" i="7"/>
  <c r="H72" i="7"/>
  <c r="E72" i="7"/>
  <c r="F72" i="7" s="1"/>
  <c r="G72" i="7" s="1"/>
  <c r="E70" i="7"/>
  <c r="F70" i="7" s="1"/>
  <c r="G70" i="7" s="1"/>
  <c r="C70" i="7"/>
  <c r="D70" i="7" s="1"/>
  <c r="H70" i="7"/>
  <c r="J70" i="7"/>
  <c r="I110" i="7"/>
  <c r="I23" i="7"/>
  <c r="G26" i="7"/>
  <c r="I24" i="7"/>
  <c r="C79" i="7"/>
  <c r="D79" i="7" s="1"/>
  <c r="J79" i="7"/>
  <c r="H79" i="7"/>
  <c r="M79" i="7"/>
  <c r="E79" i="7"/>
  <c r="H99" i="7"/>
  <c r="J99" i="7"/>
  <c r="M99" i="7"/>
  <c r="E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4" i="7"/>
  <c r="B82" i="7"/>
  <c r="B80" i="7"/>
  <c r="C99" i="7"/>
  <c r="D99" i="7" s="1"/>
  <c r="B85" i="7"/>
  <c r="B81" i="7"/>
  <c r="B83" i="7"/>
  <c r="O57" i="12" l="1"/>
  <c r="O73" i="12"/>
  <c r="V76" i="3"/>
  <c r="F79" i="7"/>
  <c r="G79" i="7" s="1"/>
  <c r="V79" i="7"/>
  <c r="S76" i="3"/>
  <c r="AE20" i="13"/>
  <c r="F99" i="7"/>
  <c r="G99" i="7" s="1"/>
  <c r="V99" i="7"/>
  <c r="AE19" i="13"/>
  <c r="O36" i="12"/>
  <c r="R36" i="12" s="1"/>
  <c r="P76" i="12"/>
  <c r="S76" i="12" s="1"/>
  <c r="P75" i="12"/>
  <c r="S75" i="12" s="1"/>
  <c r="F114" i="12"/>
  <c r="G114" i="12" s="1"/>
  <c r="Q114" i="12"/>
  <c r="F87" i="12"/>
  <c r="G87" i="12" s="1"/>
  <c r="Q87" i="12"/>
  <c r="F110" i="12"/>
  <c r="G110" i="12" s="1"/>
  <c r="I110" i="12" s="1"/>
  <c r="Q110" i="12"/>
  <c r="F112" i="12"/>
  <c r="G112" i="12" s="1"/>
  <c r="Q112" i="12"/>
  <c r="F84" i="12"/>
  <c r="G84" i="12" s="1"/>
  <c r="I84" i="12" s="1"/>
  <c r="Q84" i="12"/>
  <c r="F93" i="12"/>
  <c r="G93" i="12" s="1"/>
  <c r="Q93" i="12"/>
  <c r="F113" i="12"/>
  <c r="G113" i="12" s="1"/>
  <c r="I113" i="12" s="1"/>
  <c r="Q113" i="12"/>
  <c r="F108" i="12"/>
  <c r="G108" i="12" s="1"/>
  <c r="I108" i="12" s="1"/>
  <c r="Q108" i="12"/>
  <c r="F91" i="12"/>
  <c r="G91" i="12" s="1"/>
  <c r="Q91" i="12"/>
  <c r="F95" i="12"/>
  <c r="G95" i="12" s="1"/>
  <c r="Q95" i="12"/>
  <c r="F116" i="12"/>
  <c r="G116" i="12" s="1"/>
  <c r="I116" i="12" s="1"/>
  <c r="Q116" i="12"/>
  <c r="F96" i="12"/>
  <c r="G96" i="12" s="1"/>
  <c r="Q96" i="12"/>
  <c r="F104" i="12"/>
  <c r="G104" i="12" s="1"/>
  <c r="I104" i="12" s="1"/>
  <c r="Q104" i="12"/>
  <c r="F86" i="12"/>
  <c r="G86" i="12" s="1"/>
  <c r="I86" i="12" s="1"/>
  <c r="Q86" i="12"/>
  <c r="F85" i="12"/>
  <c r="G85" i="12" s="1"/>
  <c r="I85" i="12" s="1"/>
  <c r="Q85" i="12"/>
  <c r="F115" i="12"/>
  <c r="G115" i="12" s="1"/>
  <c r="I115" i="12" s="1"/>
  <c r="Q115" i="12"/>
  <c r="F122" i="12"/>
  <c r="G122" i="12" s="1"/>
  <c r="Q122" i="12"/>
  <c r="F94" i="12"/>
  <c r="G94" i="12" s="1"/>
  <c r="Q94" i="12"/>
  <c r="F98" i="12"/>
  <c r="G98" i="12" s="1"/>
  <c r="I98" i="12" s="1"/>
  <c r="Q98" i="12"/>
  <c r="F88" i="12"/>
  <c r="G88" i="12" s="1"/>
  <c r="Q88" i="12"/>
  <c r="F89" i="12"/>
  <c r="G89" i="12" s="1"/>
  <c r="I89" i="12" s="1"/>
  <c r="Q89" i="12"/>
  <c r="R73" i="12"/>
  <c r="F99" i="12"/>
  <c r="G99" i="12" s="1"/>
  <c r="I99" i="12" s="1"/>
  <c r="Q99" i="12"/>
  <c r="F102" i="12"/>
  <c r="G102" i="12" s="1"/>
  <c r="I102" i="12" s="1"/>
  <c r="Q102" i="12"/>
  <c r="F120" i="12"/>
  <c r="G120" i="12" s="1"/>
  <c r="Q120" i="12"/>
  <c r="F111" i="12"/>
  <c r="G111" i="12" s="1"/>
  <c r="Q111" i="12"/>
  <c r="F106" i="12"/>
  <c r="G106" i="12" s="1"/>
  <c r="I106" i="12" s="1"/>
  <c r="Q106" i="12"/>
  <c r="F101" i="12"/>
  <c r="G101" i="12" s="1"/>
  <c r="Q101" i="12"/>
  <c r="F92" i="12"/>
  <c r="G92" i="12" s="1"/>
  <c r="I92" i="12" s="1"/>
  <c r="Q92" i="12"/>
  <c r="F121" i="12"/>
  <c r="G121" i="12" s="1"/>
  <c r="I121" i="12" s="1"/>
  <c r="Q121" i="12"/>
  <c r="F90" i="12"/>
  <c r="G90" i="12" s="1"/>
  <c r="Q90" i="12"/>
  <c r="F107" i="12"/>
  <c r="G107" i="12" s="1"/>
  <c r="I107" i="12" s="1"/>
  <c r="Q107" i="12"/>
  <c r="F123" i="12"/>
  <c r="G123" i="12" s="1"/>
  <c r="I123" i="12" s="1"/>
  <c r="Q123" i="12"/>
  <c r="F105" i="12"/>
  <c r="G105" i="12" s="1"/>
  <c r="Q105" i="12"/>
  <c r="F97" i="12"/>
  <c r="G97" i="12" s="1"/>
  <c r="I97" i="12" s="1"/>
  <c r="Q97" i="12"/>
  <c r="F100" i="12"/>
  <c r="G100" i="12" s="1"/>
  <c r="I100" i="12" s="1"/>
  <c r="Q100" i="12"/>
  <c r="F118" i="12"/>
  <c r="G118" i="12" s="1"/>
  <c r="Q118" i="12"/>
  <c r="F119" i="12"/>
  <c r="G119" i="12" s="1"/>
  <c r="I119" i="12" s="1"/>
  <c r="Q119" i="12"/>
  <c r="F109" i="12"/>
  <c r="G109" i="12" s="1"/>
  <c r="I109" i="12" s="1"/>
  <c r="Q109" i="12"/>
  <c r="P68" i="3"/>
  <c r="Q68" i="3" s="1"/>
  <c r="P73" i="12"/>
  <c r="S73" i="12" s="1"/>
  <c r="S36" i="12"/>
  <c r="S74" i="12"/>
  <c r="O75" i="12"/>
  <c r="R75" i="12" s="1"/>
  <c r="O74" i="12"/>
  <c r="R74" i="12" s="1"/>
  <c r="P63" i="12"/>
  <c r="S63" i="12" s="1"/>
  <c r="P65" i="12"/>
  <c r="O51" i="12"/>
  <c r="P60" i="12"/>
  <c r="S60" i="12" s="1"/>
  <c r="O53" i="12"/>
  <c r="R53" i="12" s="1"/>
  <c r="O72" i="12"/>
  <c r="R72" i="12" s="1"/>
  <c r="P62" i="12"/>
  <c r="S62" i="12" s="1"/>
  <c r="P48" i="12"/>
  <c r="S48" i="12" s="1"/>
  <c r="O69" i="12"/>
  <c r="R69" i="12" s="1"/>
  <c r="O64" i="12"/>
  <c r="R64" i="12" s="1"/>
  <c r="O103" i="12"/>
  <c r="R103" i="12" s="1"/>
  <c r="P55" i="12"/>
  <c r="S55" i="12" s="1"/>
  <c r="P103" i="12"/>
  <c r="S103" i="12" s="1"/>
  <c r="O41" i="12"/>
  <c r="R41" i="12" s="1"/>
  <c r="P47" i="12"/>
  <c r="S47" i="12" s="1"/>
  <c r="S40" i="12"/>
  <c r="P59" i="12"/>
  <c r="S59" i="12" s="1"/>
  <c r="P43" i="12"/>
  <c r="S43" i="12" s="1"/>
  <c r="I96" i="12"/>
  <c r="O46" i="12"/>
  <c r="R46" i="12" s="1"/>
  <c r="P69" i="12"/>
  <c r="S69" i="12" s="1"/>
  <c r="S65" i="12"/>
  <c r="I114" i="12"/>
  <c r="I87" i="12"/>
  <c r="O62" i="12"/>
  <c r="R62" i="12" s="1"/>
  <c r="P51" i="12"/>
  <c r="S51" i="12" s="1"/>
  <c r="P46" i="12"/>
  <c r="S46" i="12" s="1"/>
  <c r="O58" i="12"/>
  <c r="R58" i="12" s="1"/>
  <c r="P53" i="12"/>
  <c r="S53" i="12" s="1"/>
  <c r="R71" i="12"/>
  <c r="R57" i="12"/>
  <c r="P45" i="12"/>
  <c r="S45" i="12" s="1"/>
  <c r="P49" i="12"/>
  <c r="S49" i="12" s="1"/>
  <c r="P54" i="12"/>
  <c r="S54" i="12" s="1"/>
  <c r="O67" i="12"/>
  <c r="R67" i="12" s="1"/>
  <c r="O45" i="12"/>
  <c r="R45" i="12" s="1"/>
  <c r="O66" i="12"/>
  <c r="R66" i="12" s="1"/>
  <c r="P64" i="12"/>
  <c r="S64" i="12" s="1"/>
  <c r="P50" i="12"/>
  <c r="S50" i="12" s="1"/>
  <c r="O37" i="12"/>
  <c r="R37" i="12" s="1"/>
  <c r="P42" i="12"/>
  <c r="S42" i="12" s="1"/>
  <c r="O60" i="12"/>
  <c r="R60" i="12" s="1"/>
  <c r="P39" i="12"/>
  <c r="S39" i="12" s="1"/>
  <c r="O49" i="12"/>
  <c r="R49" i="12" s="1"/>
  <c r="P68" i="12"/>
  <c r="S68" i="12" s="1"/>
  <c r="P72" i="12"/>
  <c r="S72" i="12" s="1"/>
  <c r="I118" i="12"/>
  <c r="I95" i="12"/>
  <c r="I88" i="12"/>
  <c r="I101" i="12"/>
  <c r="I90" i="12"/>
  <c r="O39" i="12"/>
  <c r="R39" i="12" s="1"/>
  <c r="O47" i="12"/>
  <c r="R47" i="12" s="1"/>
  <c r="P61" i="12"/>
  <c r="S61" i="12" s="1"/>
  <c r="O50" i="12"/>
  <c r="R50" i="12" s="1"/>
  <c r="O55" i="12"/>
  <c r="R55" i="12" s="1"/>
  <c r="P71" i="12"/>
  <c r="S71" i="12" s="1"/>
  <c r="S67" i="12"/>
  <c r="O48" i="12"/>
  <c r="R48" i="12" s="1"/>
  <c r="O43" i="12"/>
  <c r="R43" i="12" s="1"/>
  <c r="O68" i="12"/>
  <c r="R68" i="12" s="1"/>
  <c r="P37" i="12"/>
  <c r="S37" i="12" s="1"/>
  <c r="O63" i="12"/>
  <c r="R63" i="12" s="1"/>
  <c r="R38" i="12"/>
  <c r="O65" i="12"/>
  <c r="R65" i="12" s="1"/>
  <c r="P38" i="12"/>
  <c r="S38" i="12" s="1"/>
  <c r="K115" i="12"/>
  <c r="L115" i="12" s="1"/>
  <c r="N115" i="12" s="1"/>
  <c r="K110" i="12"/>
  <c r="L110" i="12" s="1"/>
  <c r="N110" i="12" s="1"/>
  <c r="K98" i="12"/>
  <c r="L98" i="12" s="1"/>
  <c r="N98" i="12" s="1"/>
  <c r="K120" i="12"/>
  <c r="L120" i="12" s="1"/>
  <c r="N120" i="12" s="1"/>
  <c r="K84" i="12"/>
  <c r="L84" i="12" s="1"/>
  <c r="N84" i="12" s="1"/>
  <c r="I93" i="12"/>
  <c r="O59" i="12"/>
  <c r="R59" i="12" s="1"/>
  <c r="K102" i="12"/>
  <c r="L102" i="12" s="1"/>
  <c r="N102" i="12" s="1"/>
  <c r="K90" i="12"/>
  <c r="L90" i="12" s="1"/>
  <c r="N90" i="12" s="1"/>
  <c r="K107" i="12"/>
  <c r="L107" i="12" s="1"/>
  <c r="N107" i="12" s="1"/>
  <c r="I91" i="12"/>
  <c r="O42" i="12"/>
  <c r="R42" i="12" s="1"/>
  <c r="I112" i="12"/>
  <c r="I94" i="12"/>
  <c r="K94" i="12"/>
  <c r="L94" i="12" s="1"/>
  <c r="N94" i="12" s="1"/>
  <c r="P58" i="12"/>
  <c r="S58" i="12" s="1"/>
  <c r="K116" i="12"/>
  <c r="L116" i="12" s="1"/>
  <c r="N116" i="12" s="1"/>
  <c r="K96" i="12"/>
  <c r="L96" i="12" s="1"/>
  <c r="N96" i="12" s="1"/>
  <c r="P66" i="12"/>
  <c r="S66" i="12" s="1"/>
  <c r="K86" i="12"/>
  <c r="L86" i="12" s="1"/>
  <c r="N86" i="12" s="1"/>
  <c r="K92" i="12"/>
  <c r="L92" i="12" s="1"/>
  <c r="N92" i="12" s="1"/>
  <c r="I122" i="12"/>
  <c r="K111" i="12"/>
  <c r="L111" i="12" s="1"/>
  <c r="N111" i="12" s="1"/>
  <c r="K100" i="12"/>
  <c r="L100" i="12" s="1"/>
  <c r="N100" i="12" s="1"/>
  <c r="K106" i="12"/>
  <c r="L106" i="12" s="1"/>
  <c r="N106" i="12" s="1"/>
  <c r="K114" i="12"/>
  <c r="L114" i="12" s="1"/>
  <c r="N114" i="12" s="1"/>
  <c r="K101" i="12"/>
  <c r="L101" i="12" s="1"/>
  <c r="N101" i="12" s="1"/>
  <c r="K87" i="12"/>
  <c r="L87" i="12" s="1"/>
  <c r="N87" i="12" s="1"/>
  <c r="K93" i="12"/>
  <c r="L93" i="12" s="1"/>
  <c r="N93" i="12" s="1"/>
  <c r="K121" i="12"/>
  <c r="L121" i="12" s="1"/>
  <c r="N121" i="12" s="1"/>
  <c r="K122" i="12"/>
  <c r="L122" i="12" s="1"/>
  <c r="N122" i="12" s="1"/>
  <c r="K113" i="12"/>
  <c r="L113" i="12" s="1"/>
  <c r="N113" i="12" s="1"/>
  <c r="K108" i="12"/>
  <c r="L108" i="12" s="1"/>
  <c r="N108" i="12" s="1"/>
  <c r="K99" i="12"/>
  <c r="L99" i="12" s="1"/>
  <c r="N99" i="12" s="1"/>
  <c r="K91" i="12"/>
  <c r="L91" i="12" s="1"/>
  <c r="N91" i="12" s="1"/>
  <c r="R51" i="12"/>
  <c r="O61" i="12"/>
  <c r="R61" i="12" s="1"/>
  <c r="I120" i="12"/>
  <c r="I111" i="12"/>
  <c r="K123" i="12"/>
  <c r="L123" i="12" s="1"/>
  <c r="N123" i="12" s="1"/>
  <c r="K105" i="12"/>
  <c r="L105" i="12" s="1"/>
  <c r="N105" i="12" s="1"/>
  <c r="K88" i="12"/>
  <c r="L88" i="12" s="1"/>
  <c r="N88" i="12" s="1"/>
  <c r="K104" i="12"/>
  <c r="L104" i="12" s="1"/>
  <c r="N104" i="12" s="1"/>
  <c r="P41" i="12"/>
  <c r="S41" i="12" s="1"/>
  <c r="O54" i="12"/>
  <c r="R54" i="12" s="1"/>
  <c r="K118" i="12"/>
  <c r="L118" i="12" s="1"/>
  <c r="N118" i="12" s="1"/>
  <c r="K85" i="12"/>
  <c r="L85" i="12" s="1"/>
  <c r="N85" i="12" s="1"/>
  <c r="O40" i="12"/>
  <c r="R40" i="12" s="1"/>
  <c r="P57" i="12"/>
  <c r="S57" i="12" s="1"/>
  <c r="K112" i="12"/>
  <c r="L112" i="12" s="1"/>
  <c r="N112" i="12" s="1"/>
  <c r="K95" i="12"/>
  <c r="L95" i="12" s="1"/>
  <c r="N95" i="12" s="1"/>
  <c r="I105" i="12"/>
  <c r="K97" i="12"/>
  <c r="L97" i="12" s="1"/>
  <c r="N97" i="12" s="1"/>
  <c r="K119" i="12"/>
  <c r="L119" i="12" s="1"/>
  <c r="N119" i="12" s="1"/>
  <c r="K109" i="12"/>
  <c r="L109" i="12" s="1"/>
  <c r="N109" i="12" s="1"/>
  <c r="K89" i="12"/>
  <c r="L89" i="12" s="1"/>
  <c r="N89" i="12" s="1"/>
  <c r="T120" i="7"/>
  <c r="W120" i="7" s="1"/>
  <c r="U120" i="7"/>
  <c r="X120" i="7" s="1"/>
  <c r="S68" i="3"/>
  <c r="T110" i="7"/>
  <c r="W110" i="7" s="1"/>
  <c r="K72" i="7"/>
  <c r="L72" i="7" s="1"/>
  <c r="N72" i="7" s="1"/>
  <c r="V72" i="7"/>
  <c r="K99" i="7"/>
  <c r="L99" i="7" s="1"/>
  <c r="N99" i="7" s="1"/>
  <c r="K79" i="7"/>
  <c r="L79" i="7" s="1"/>
  <c r="N79" i="7" s="1"/>
  <c r="K71" i="7"/>
  <c r="L71" i="7" s="1"/>
  <c r="V71" i="7"/>
  <c r="K67" i="7"/>
  <c r="L67" i="7" s="1"/>
  <c r="N67" i="7" s="1"/>
  <c r="V67" i="7"/>
  <c r="K68" i="7"/>
  <c r="L68" i="7" s="1"/>
  <c r="N68" i="7" s="1"/>
  <c r="U68" i="7" s="1"/>
  <c r="V68" i="7"/>
  <c r="K70" i="7"/>
  <c r="L70" i="7" s="1"/>
  <c r="N70" i="7" s="1"/>
  <c r="V70" i="7"/>
  <c r="U73" i="7"/>
  <c r="X73" i="7" s="1"/>
  <c r="T73" i="7"/>
  <c r="W73" i="7" s="1"/>
  <c r="P74" i="3"/>
  <c r="Q74" i="3" s="1"/>
  <c r="S74" i="3" s="1"/>
  <c r="V74" i="3"/>
  <c r="P71" i="3"/>
  <c r="Q71" i="3" s="1"/>
  <c r="V71" i="3"/>
  <c r="P69" i="3"/>
  <c r="Q69" i="3" s="1"/>
  <c r="S69" i="3" s="1"/>
  <c r="V69" i="3"/>
  <c r="P73" i="3"/>
  <c r="Q73" i="3" s="1"/>
  <c r="S73" i="3" s="1"/>
  <c r="V73" i="3"/>
  <c r="P72" i="3"/>
  <c r="Q72" i="3" s="1"/>
  <c r="S72" i="3" s="1"/>
  <c r="V72" i="3"/>
  <c r="S71" i="3"/>
  <c r="P70" i="3"/>
  <c r="Q70" i="3" s="1"/>
  <c r="S70" i="3" s="1"/>
  <c r="V70" i="3"/>
  <c r="I72" i="7"/>
  <c r="I71" i="7"/>
  <c r="I67" i="7"/>
  <c r="I79" i="7"/>
  <c r="I70" i="7"/>
  <c r="N71" i="7"/>
  <c r="U110" i="7"/>
  <c r="X110" i="7" s="1"/>
  <c r="H81" i="7"/>
  <c r="C81" i="7"/>
  <c r="D81" i="7" s="1"/>
  <c r="E81" i="7"/>
  <c r="J81" i="7"/>
  <c r="M81" i="7"/>
  <c r="H88" i="7"/>
  <c r="C88" i="7"/>
  <c r="D88" i="7" s="1"/>
  <c r="J88" i="7"/>
  <c r="M88" i="7"/>
  <c r="E88" i="7"/>
  <c r="H96" i="7"/>
  <c r="C96" i="7"/>
  <c r="D96" i="7" s="1"/>
  <c r="J96" i="7"/>
  <c r="M96" i="7"/>
  <c r="E96" i="7"/>
  <c r="H102" i="7"/>
  <c r="C102" i="7"/>
  <c r="D102" i="7" s="1"/>
  <c r="J102" i="7"/>
  <c r="M102" i="7"/>
  <c r="E102" i="7"/>
  <c r="H89" i="7"/>
  <c r="C89" i="7"/>
  <c r="D89" i="7" s="1"/>
  <c r="J89" i="7"/>
  <c r="M89" i="7"/>
  <c r="E89" i="7"/>
  <c r="H103" i="7"/>
  <c r="C103" i="7"/>
  <c r="D103" i="7" s="1"/>
  <c r="J103" i="7"/>
  <c r="M103" i="7"/>
  <c r="E103" i="7"/>
  <c r="H82" i="7"/>
  <c r="C82" i="7"/>
  <c r="D82" i="7" s="1"/>
  <c r="M82" i="7"/>
  <c r="E82" i="7"/>
  <c r="J82" i="7"/>
  <c r="H92" i="7"/>
  <c r="C92" i="7"/>
  <c r="D92" i="7" s="1"/>
  <c r="J92" i="7"/>
  <c r="M92" i="7"/>
  <c r="E92" i="7"/>
  <c r="H85" i="7"/>
  <c r="C85" i="7"/>
  <c r="D85" i="7" s="1"/>
  <c r="E85" i="7"/>
  <c r="M85" i="7"/>
  <c r="J85" i="7"/>
  <c r="H97" i="7"/>
  <c r="C97" i="7"/>
  <c r="D97" i="7" s="1"/>
  <c r="J97" i="7"/>
  <c r="M97" i="7"/>
  <c r="E97" i="7"/>
  <c r="C105" i="7"/>
  <c r="D105" i="7" s="1"/>
  <c r="M105" i="7"/>
  <c r="H105" i="7"/>
  <c r="J105" i="7"/>
  <c r="E105" i="7"/>
  <c r="H83" i="7"/>
  <c r="C83" i="7"/>
  <c r="D83" i="7" s="1"/>
  <c r="M83" i="7"/>
  <c r="J83" i="7"/>
  <c r="E83" i="7"/>
  <c r="H86" i="7"/>
  <c r="C86" i="7"/>
  <c r="D86" i="7" s="1"/>
  <c r="J86" i="7"/>
  <c r="E86" i="7"/>
  <c r="M86" i="7"/>
  <c r="H90" i="7"/>
  <c r="C90" i="7"/>
  <c r="D90" i="7" s="1"/>
  <c r="J90" i="7"/>
  <c r="E90" i="7"/>
  <c r="M90" i="7"/>
  <c r="H94" i="7"/>
  <c r="C94" i="7"/>
  <c r="D94" i="7" s="1"/>
  <c r="J94" i="7"/>
  <c r="E94" i="7"/>
  <c r="M94" i="7"/>
  <c r="M98" i="7"/>
  <c r="H98" i="7"/>
  <c r="C98" i="7"/>
  <c r="D98" i="7" s="1"/>
  <c r="J98" i="7"/>
  <c r="E98" i="7"/>
  <c r="H100" i="7"/>
  <c r="C100" i="7"/>
  <c r="D100" i="7" s="1"/>
  <c r="J100" i="7"/>
  <c r="E100" i="7"/>
  <c r="M100" i="7"/>
  <c r="C107" i="7"/>
  <c r="D107" i="7" s="1"/>
  <c r="J107" i="7"/>
  <c r="E107" i="7"/>
  <c r="M107" i="7"/>
  <c r="H107" i="7"/>
  <c r="C111" i="7"/>
  <c r="D111" i="7" s="1"/>
  <c r="M111" i="7"/>
  <c r="H111" i="7"/>
  <c r="J111" i="7"/>
  <c r="E111" i="7"/>
  <c r="C109" i="7"/>
  <c r="D109" i="7" s="1"/>
  <c r="M109" i="7"/>
  <c r="H109" i="7"/>
  <c r="J109" i="7"/>
  <c r="E109" i="7"/>
  <c r="C119" i="7"/>
  <c r="D119" i="7" s="1"/>
  <c r="J119" i="7"/>
  <c r="H119" i="7"/>
  <c r="M119" i="7"/>
  <c r="E119" i="7"/>
  <c r="C116" i="7"/>
  <c r="D116" i="7" s="1"/>
  <c r="J116" i="7"/>
  <c r="E116" i="7"/>
  <c r="H116" i="7"/>
  <c r="M116" i="7"/>
  <c r="C117" i="7"/>
  <c r="D117" i="7" s="1"/>
  <c r="J117" i="7"/>
  <c r="H117" i="7"/>
  <c r="M117" i="7"/>
  <c r="E117" i="7"/>
  <c r="H84" i="7"/>
  <c r="C84" i="7"/>
  <c r="D84" i="7" s="1"/>
  <c r="M84" i="7"/>
  <c r="E84" i="7"/>
  <c r="J84" i="7"/>
  <c r="H93" i="7"/>
  <c r="C93" i="7"/>
  <c r="D93" i="7" s="1"/>
  <c r="J93" i="7"/>
  <c r="M93" i="7"/>
  <c r="E93" i="7"/>
  <c r="C104" i="7"/>
  <c r="D104" i="7" s="1"/>
  <c r="J104" i="7"/>
  <c r="E104" i="7"/>
  <c r="M104" i="7"/>
  <c r="H104" i="7"/>
  <c r="C106" i="7"/>
  <c r="D106" i="7" s="1"/>
  <c r="M106" i="7"/>
  <c r="H106" i="7"/>
  <c r="J106" i="7"/>
  <c r="E106" i="7"/>
  <c r="C118" i="7"/>
  <c r="D118" i="7" s="1"/>
  <c r="J118" i="7"/>
  <c r="H118" i="7"/>
  <c r="M118" i="7"/>
  <c r="E118" i="7"/>
  <c r="C108" i="7"/>
  <c r="D108" i="7" s="1"/>
  <c r="J108" i="7"/>
  <c r="E108" i="7"/>
  <c r="M108" i="7"/>
  <c r="H108" i="7"/>
  <c r="C80" i="7"/>
  <c r="D80" i="7" s="1"/>
  <c r="J80" i="7"/>
  <c r="M80" i="7"/>
  <c r="E80" i="7"/>
  <c r="H80" i="7"/>
  <c r="H87" i="7"/>
  <c r="C87" i="7"/>
  <c r="D87" i="7" s="1"/>
  <c r="J87" i="7"/>
  <c r="E87" i="7"/>
  <c r="M87" i="7"/>
  <c r="H91" i="7"/>
  <c r="C91" i="7"/>
  <c r="D91" i="7" s="1"/>
  <c r="J91" i="7"/>
  <c r="E91" i="7"/>
  <c r="M91" i="7"/>
  <c r="H95" i="7"/>
  <c r="C95" i="7"/>
  <c r="D95" i="7" s="1"/>
  <c r="J95" i="7"/>
  <c r="E95" i="7"/>
  <c r="M95" i="7"/>
  <c r="I99" i="7"/>
  <c r="C113" i="7"/>
  <c r="D113" i="7" s="1"/>
  <c r="J113" i="7"/>
  <c r="E113" i="7"/>
  <c r="M113" i="7"/>
  <c r="H113" i="7"/>
  <c r="H101" i="7"/>
  <c r="C101" i="7"/>
  <c r="D101" i="7" s="1"/>
  <c r="J101" i="7"/>
  <c r="E101" i="7"/>
  <c r="M101" i="7"/>
  <c r="C112" i="7"/>
  <c r="D112" i="7" s="1"/>
  <c r="J112" i="7"/>
  <c r="E112" i="7"/>
  <c r="M112" i="7"/>
  <c r="H112" i="7"/>
  <c r="C115" i="7"/>
  <c r="D115" i="7" s="1"/>
  <c r="M115" i="7"/>
  <c r="H115" i="7"/>
  <c r="E115" i="7"/>
  <c r="J115" i="7"/>
  <c r="C114" i="7"/>
  <c r="D114" i="7" s="1"/>
  <c r="M114" i="7"/>
  <c r="H114" i="7"/>
  <c r="J114" i="7"/>
  <c r="E114" i="7"/>
  <c r="F96" i="7" l="1"/>
  <c r="G96" i="7" s="1"/>
  <c r="I96" i="7" s="1"/>
  <c r="V96" i="7"/>
  <c r="F81" i="7"/>
  <c r="G81" i="7" s="1"/>
  <c r="V81" i="7"/>
  <c r="F101" i="7"/>
  <c r="G101" i="7" s="1"/>
  <c r="V101" i="7"/>
  <c r="F111" i="7"/>
  <c r="G111" i="7" s="1"/>
  <c r="V111" i="7"/>
  <c r="F105" i="7"/>
  <c r="G105" i="7" s="1"/>
  <c r="V105" i="7"/>
  <c r="F85" i="7"/>
  <c r="G85" i="7" s="1"/>
  <c r="V85" i="7"/>
  <c r="F87" i="7"/>
  <c r="G87" i="7" s="1"/>
  <c r="V87" i="7"/>
  <c r="F94" i="7"/>
  <c r="G94" i="7" s="1"/>
  <c r="V94" i="7"/>
  <c r="F97" i="7"/>
  <c r="G97" i="7" s="1"/>
  <c r="I97" i="7" s="1"/>
  <c r="V97" i="7"/>
  <c r="F82" i="7"/>
  <c r="G82" i="7" s="1"/>
  <c r="V82" i="7"/>
  <c r="F103" i="7"/>
  <c r="G103" i="7" s="1"/>
  <c r="I103" i="7" s="1"/>
  <c r="V103" i="7"/>
  <c r="F88" i="7"/>
  <c r="G88" i="7" s="1"/>
  <c r="V88" i="7"/>
  <c r="F91" i="7"/>
  <c r="G91" i="7" s="1"/>
  <c r="V91" i="7"/>
  <c r="F117" i="7"/>
  <c r="G117" i="7" s="1"/>
  <c r="V117" i="7"/>
  <c r="F93" i="7"/>
  <c r="G93" i="7" s="1"/>
  <c r="V93" i="7"/>
  <c r="F119" i="7"/>
  <c r="G119" i="7" s="1"/>
  <c r="V119" i="7"/>
  <c r="F90" i="7"/>
  <c r="G90" i="7" s="1"/>
  <c r="V90" i="7"/>
  <c r="F89" i="7"/>
  <c r="G89" i="7" s="1"/>
  <c r="I89" i="7" s="1"/>
  <c r="V89" i="7"/>
  <c r="F114" i="7"/>
  <c r="G114" i="7" s="1"/>
  <c r="V114" i="7"/>
  <c r="F112" i="7"/>
  <c r="G112" i="7" s="1"/>
  <c r="V112" i="7"/>
  <c r="F108" i="7"/>
  <c r="G108" i="7" s="1"/>
  <c r="V108" i="7"/>
  <c r="F106" i="7"/>
  <c r="G106" i="7" s="1"/>
  <c r="V106" i="7"/>
  <c r="F84" i="7"/>
  <c r="G84" i="7" s="1"/>
  <c r="V84" i="7"/>
  <c r="F115" i="7"/>
  <c r="G115" i="7" s="1"/>
  <c r="V115" i="7"/>
  <c r="F113" i="7"/>
  <c r="G113" i="7" s="1"/>
  <c r="V113" i="7"/>
  <c r="F80" i="7"/>
  <c r="G80" i="7" s="1"/>
  <c r="V80" i="7"/>
  <c r="F95" i="7"/>
  <c r="G95" i="7" s="1"/>
  <c r="V95" i="7"/>
  <c r="F118" i="7"/>
  <c r="G118" i="7" s="1"/>
  <c r="V118" i="7"/>
  <c r="F104" i="7"/>
  <c r="G104" i="7" s="1"/>
  <c r="V104" i="7"/>
  <c r="F116" i="7"/>
  <c r="G116" i="7" s="1"/>
  <c r="V116" i="7"/>
  <c r="F109" i="7"/>
  <c r="G109" i="7" s="1"/>
  <c r="V109" i="7"/>
  <c r="F107" i="7"/>
  <c r="G107" i="7" s="1"/>
  <c r="V107" i="7"/>
  <c r="F100" i="7"/>
  <c r="G100" i="7" s="1"/>
  <c r="V100" i="7"/>
  <c r="F98" i="7"/>
  <c r="G98" i="7" s="1"/>
  <c r="V98" i="7"/>
  <c r="F86" i="7"/>
  <c r="G86" i="7" s="1"/>
  <c r="V86" i="7"/>
  <c r="F83" i="7"/>
  <c r="G83" i="7" s="1"/>
  <c r="V83" i="7"/>
  <c r="F92" i="7"/>
  <c r="G92" i="7" s="1"/>
  <c r="V92" i="7"/>
  <c r="F102" i="7"/>
  <c r="G102" i="7" s="1"/>
  <c r="I102" i="7" s="1"/>
  <c r="V102" i="7"/>
  <c r="P99" i="12"/>
  <c r="S99" i="12" s="1"/>
  <c r="P89" i="12"/>
  <c r="O116" i="12"/>
  <c r="R116" i="12" s="1"/>
  <c r="P104" i="12"/>
  <c r="S104" i="12" s="1"/>
  <c r="P121" i="12"/>
  <c r="O86" i="12"/>
  <c r="R86" i="12" s="1"/>
  <c r="P102" i="12"/>
  <c r="S102" i="12" s="1"/>
  <c r="P119" i="12"/>
  <c r="S119" i="12" s="1"/>
  <c r="P110" i="12"/>
  <c r="S110" i="12" s="1"/>
  <c r="O91" i="12"/>
  <c r="R91" i="12" s="1"/>
  <c r="P116" i="12"/>
  <c r="S116" i="12" s="1"/>
  <c r="P106" i="12"/>
  <c r="S106" i="12" s="1"/>
  <c r="P92" i="12"/>
  <c r="S92" i="12" s="1"/>
  <c r="O107" i="12"/>
  <c r="R107" i="12" s="1"/>
  <c r="P86" i="12"/>
  <c r="S86" i="12" s="1"/>
  <c r="P96" i="12"/>
  <c r="S96" i="12" s="1"/>
  <c r="P118" i="12"/>
  <c r="S118" i="12" s="1"/>
  <c r="P114" i="12"/>
  <c r="S114" i="12" s="1"/>
  <c r="P85" i="12"/>
  <c r="S85" i="12" s="1"/>
  <c r="O110" i="12"/>
  <c r="R110" i="12" s="1"/>
  <c r="P123" i="12"/>
  <c r="P113" i="12"/>
  <c r="S113" i="12" s="1"/>
  <c r="P87" i="12"/>
  <c r="S87" i="12" s="1"/>
  <c r="O105" i="12"/>
  <c r="R105" i="12" s="1"/>
  <c r="O100" i="12"/>
  <c r="R100" i="12" s="1"/>
  <c r="O90" i="12"/>
  <c r="R90" i="12" s="1"/>
  <c r="O92" i="12"/>
  <c r="R92" i="12" s="1"/>
  <c r="P97" i="12"/>
  <c r="S97" i="12" s="1"/>
  <c r="P107" i="12"/>
  <c r="S107" i="12" s="1"/>
  <c r="P93" i="12"/>
  <c r="S93" i="12" s="1"/>
  <c r="S121" i="12"/>
  <c r="P95" i="12"/>
  <c r="S95" i="12" s="1"/>
  <c r="O94" i="12"/>
  <c r="R94" i="12" s="1"/>
  <c r="O98" i="12"/>
  <c r="R98" i="12" s="1"/>
  <c r="S89" i="12"/>
  <c r="O101" i="12"/>
  <c r="R101" i="12" s="1"/>
  <c r="P111" i="12"/>
  <c r="S111" i="12" s="1"/>
  <c r="O115" i="12"/>
  <c r="R115" i="12" s="1"/>
  <c r="O122" i="12"/>
  <c r="R122" i="12" s="1"/>
  <c r="O88" i="12"/>
  <c r="R88" i="12" s="1"/>
  <c r="O118" i="12"/>
  <c r="R118" i="12" s="1"/>
  <c r="P120" i="12"/>
  <c r="S120" i="12" s="1"/>
  <c r="P88" i="12"/>
  <c r="S88" i="12" s="1"/>
  <c r="P94" i="12"/>
  <c r="S94" i="12" s="1"/>
  <c r="O111" i="12"/>
  <c r="R111" i="12" s="1"/>
  <c r="O102" i="12"/>
  <c r="R102" i="12" s="1"/>
  <c r="P90" i="12"/>
  <c r="S90" i="12" s="1"/>
  <c r="O108" i="12"/>
  <c r="R108" i="12" s="1"/>
  <c r="O84" i="12"/>
  <c r="R84" i="12" s="1"/>
  <c r="P115" i="12"/>
  <c r="S115" i="12" s="1"/>
  <c r="O109" i="12"/>
  <c r="R109" i="12" s="1"/>
  <c r="P105" i="12"/>
  <c r="S105" i="12" s="1"/>
  <c r="O96" i="12"/>
  <c r="R96" i="12" s="1"/>
  <c r="O119" i="12"/>
  <c r="R119" i="12" s="1"/>
  <c r="S123" i="12"/>
  <c r="P84" i="12"/>
  <c r="S84" i="12" s="1"/>
  <c r="O89" i="12"/>
  <c r="R89" i="12" s="1"/>
  <c r="O104" i="12"/>
  <c r="R104" i="12" s="1"/>
  <c r="P98" i="12"/>
  <c r="S98" i="12" s="1"/>
  <c r="P112" i="12"/>
  <c r="S112" i="12" s="1"/>
  <c r="P91" i="12"/>
  <c r="S91" i="12" s="1"/>
  <c r="P122" i="12"/>
  <c r="S122" i="12" s="1"/>
  <c r="P100" i="12"/>
  <c r="S100" i="12" s="1"/>
  <c r="O123" i="12"/>
  <c r="R123" i="12" s="1"/>
  <c r="O85" i="12"/>
  <c r="R85" i="12" s="1"/>
  <c r="O93" i="12"/>
  <c r="R93" i="12" s="1"/>
  <c r="O99" i="12"/>
  <c r="R99" i="12" s="1"/>
  <c r="O113" i="12"/>
  <c r="R113" i="12" s="1"/>
  <c r="O120" i="12"/>
  <c r="R120" i="12" s="1"/>
  <c r="O87" i="12"/>
  <c r="R87" i="12" s="1"/>
  <c r="O114" i="12"/>
  <c r="R114" i="12" s="1"/>
  <c r="O95" i="12"/>
  <c r="R95" i="12" s="1"/>
  <c r="O112" i="12"/>
  <c r="R112" i="12" s="1"/>
  <c r="P108" i="12"/>
  <c r="S108" i="12" s="1"/>
  <c r="O121" i="12"/>
  <c r="R121" i="12" s="1"/>
  <c r="P101" i="12"/>
  <c r="S101" i="12" s="1"/>
  <c r="O97" i="12"/>
  <c r="R97" i="12" s="1"/>
  <c r="O106" i="12"/>
  <c r="R106" i="12" s="1"/>
  <c r="P109" i="12"/>
  <c r="S109" i="12" s="1"/>
  <c r="T79" i="7"/>
  <c r="W79" i="7" s="1"/>
  <c r="U71" i="7"/>
  <c r="X71" i="7" s="1"/>
  <c r="U67" i="7"/>
  <c r="X67" i="7" s="1"/>
  <c r="X68" i="7"/>
  <c r="T72" i="7"/>
  <c r="W72" i="7" s="1"/>
  <c r="T70" i="7"/>
  <c r="W70" i="7" s="1"/>
  <c r="T71" i="7"/>
  <c r="W71" i="7" s="1"/>
  <c r="U70" i="7"/>
  <c r="X70" i="7" s="1"/>
  <c r="U72" i="7"/>
  <c r="X72" i="7" s="1"/>
  <c r="T99" i="7"/>
  <c r="W99" i="7" s="1"/>
  <c r="K109" i="7"/>
  <c r="L109" i="7" s="1"/>
  <c r="K107" i="7"/>
  <c r="L107" i="7" s="1"/>
  <c r="N107" i="7" s="1"/>
  <c r="K82" i="7"/>
  <c r="L82" i="7" s="1"/>
  <c r="N82" i="7" s="1"/>
  <c r="K101" i="7"/>
  <c r="L101" i="7" s="1"/>
  <c r="N101" i="7" s="1"/>
  <c r="K119" i="7"/>
  <c r="L119" i="7" s="1"/>
  <c r="N119" i="7" s="1"/>
  <c r="K92" i="7"/>
  <c r="L92" i="7" s="1"/>
  <c r="N92" i="7" s="1"/>
  <c r="K102" i="7"/>
  <c r="L102" i="7" s="1"/>
  <c r="N102" i="7" s="1"/>
  <c r="K80" i="7"/>
  <c r="L80" i="7" s="1"/>
  <c r="N80" i="7" s="1"/>
  <c r="K104" i="7"/>
  <c r="L104" i="7" s="1"/>
  <c r="N104" i="7" s="1"/>
  <c r="K93" i="7"/>
  <c r="L93" i="7" s="1"/>
  <c r="N93" i="7" s="1"/>
  <c r="K116" i="7"/>
  <c r="L116" i="7" s="1"/>
  <c r="N116" i="7" s="1"/>
  <c r="K98" i="7"/>
  <c r="L98" i="7" s="1"/>
  <c r="N98" i="7" s="1"/>
  <c r="K86" i="7"/>
  <c r="L86" i="7" s="1"/>
  <c r="N86" i="7" s="1"/>
  <c r="K89" i="7"/>
  <c r="L89" i="7" s="1"/>
  <c r="N89" i="7" s="1"/>
  <c r="U89" i="7" s="1"/>
  <c r="K114" i="7"/>
  <c r="L114" i="7" s="1"/>
  <c r="N114" i="7" s="1"/>
  <c r="K112" i="7"/>
  <c r="L112" i="7" s="1"/>
  <c r="N112" i="7" s="1"/>
  <c r="K91" i="7"/>
  <c r="L91" i="7" s="1"/>
  <c r="N91" i="7" s="1"/>
  <c r="K106" i="7"/>
  <c r="L106" i="7" s="1"/>
  <c r="N106" i="7" s="1"/>
  <c r="K105" i="7"/>
  <c r="L105" i="7" s="1"/>
  <c r="N105" i="7" s="1"/>
  <c r="T67" i="7"/>
  <c r="W67" i="7" s="1"/>
  <c r="K87" i="7"/>
  <c r="L87" i="7" s="1"/>
  <c r="N87" i="7" s="1"/>
  <c r="K118" i="7"/>
  <c r="L118" i="7" s="1"/>
  <c r="N118" i="7" s="1"/>
  <c r="K94" i="7"/>
  <c r="L94" i="7" s="1"/>
  <c r="N94" i="7" s="1"/>
  <c r="K85" i="7"/>
  <c r="L85" i="7" s="1"/>
  <c r="N85" i="7" s="1"/>
  <c r="K96" i="7"/>
  <c r="L96" i="7" s="1"/>
  <c r="N96" i="7" s="1"/>
  <c r="U96" i="7" s="1"/>
  <c r="K95" i="7"/>
  <c r="L95" i="7" s="1"/>
  <c r="N95" i="7" s="1"/>
  <c r="K100" i="7"/>
  <c r="L100" i="7" s="1"/>
  <c r="N100" i="7" s="1"/>
  <c r="K83" i="7"/>
  <c r="L83" i="7" s="1"/>
  <c r="N83" i="7" s="1"/>
  <c r="T68" i="7"/>
  <c r="W68" i="7" s="1"/>
  <c r="K115" i="7"/>
  <c r="L115" i="7" s="1"/>
  <c r="N115" i="7" s="1"/>
  <c r="K108" i="7"/>
  <c r="L108" i="7" s="1"/>
  <c r="N108" i="7" s="1"/>
  <c r="K111" i="7"/>
  <c r="L111" i="7" s="1"/>
  <c r="N111" i="7" s="1"/>
  <c r="K113" i="7"/>
  <c r="L113" i="7" s="1"/>
  <c r="N113" i="7" s="1"/>
  <c r="K84" i="7"/>
  <c r="L84" i="7" s="1"/>
  <c r="N84" i="7" s="1"/>
  <c r="K117" i="7"/>
  <c r="L117" i="7" s="1"/>
  <c r="N117" i="7" s="1"/>
  <c r="K90" i="7"/>
  <c r="L90" i="7" s="1"/>
  <c r="N90" i="7" s="1"/>
  <c r="K97" i="7"/>
  <c r="L97" i="7" s="1"/>
  <c r="N97" i="7" s="1"/>
  <c r="K103" i="7"/>
  <c r="L103" i="7" s="1"/>
  <c r="N103" i="7" s="1"/>
  <c r="T103" i="7" s="1"/>
  <c r="K88" i="7"/>
  <c r="L88" i="7" s="1"/>
  <c r="N88" i="7" s="1"/>
  <c r="K81" i="7"/>
  <c r="L81" i="7" s="1"/>
  <c r="N81" i="7" s="1"/>
  <c r="U79" i="7"/>
  <c r="X79" i="7" s="1"/>
  <c r="I101" i="7"/>
  <c r="I84" i="7"/>
  <c r="I87" i="7"/>
  <c r="I94" i="7"/>
  <c r="I82" i="7"/>
  <c r="I91" i="7"/>
  <c r="I115" i="7"/>
  <c r="I113" i="7"/>
  <c r="I119" i="7"/>
  <c r="I80" i="7"/>
  <c r="I118" i="7"/>
  <c r="I107" i="7"/>
  <c r="I86" i="7"/>
  <c r="U99" i="7"/>
  <c r="X99" i="7" s="1"/>
  <c r="I106" i="7"/>
  <c r="I117" i="7"/>
  <c r="N109" i="7"/>
  <c r="I85" i="7"/>
  <c r="I81" i="7"/>
  <c r="I108" i="7"/>
  <c r="I116" i="7"/>
  <c r="I100" i="7"/>
  <c r="I98" i="7"/>
  <c r="I105" i="7"/>
  <c r="I114" i="7"/>
  <c r="I104" i="7"/>
  <c r="I111" i="7"/>
  <c r="I83" i="7"/>
  <c r="I92" i="7"/>
  <c r="I88" i="7"/>
  <c r="I93" i="7"/>
  <c r="I112" i="7"/>
  <c r="I95" i="7"/>
  <c r="I109" i="7"/>
  <c r="I90" i="7"/>
  <c r="T80" i="7" l="1"/>
  <c r="T86" i="7"/>
  <c r="W86" i="7" s="1"/>
  <c r="T109" i="7"/>
  <c r="W109" i="7" s="1"/>
  <c r="T100" i="7"/>
  <c r="W100" i="7" s="1"/>
  <c r="T94" i="7"/>
  <c r="W94" i="7" s="1"/>
  <c r="X89" i="7"/>
  <c r="T113" i="7"/>
  <c r="W113" i="7" s="1"/>
  <c r="T85" i="7"/>
  <c r="W85" i="7" s="1"/>
  <c r="W80" i="7"/>
  <c r="T108" i="7"/>
  <c r="W108" i="7" s="1"/>
  <c r="W103" i="7"/>
  <c r="T91" i="7"/>
  <c r="W91" i="7" s="1"/>
  <c r="T83" i="7"/>
  <c r="W83" i="7" s="1"/>
  <c r="T92" i="7"/>
  <c r="W92" i="7" s="1"/>
  <c r="T95" i="7"/>
  <c r="W95" i="7" s="1"/>
  <c r="T102" i="7"/>
  <c r="W102" i="7" s="1"/>
  <c r="U102" i="7"/>
  <c r="X102" i="7" s="1"/>
  <c r="U97" i="7"/>
  <c r="X97" i="7" s="1"/>
  <c r="T97" i="7"/>
  <c r="W97" i="7" s="1"/>
  <c r="T114" i="7"/>
  <c r="W114" i="7" s="1"/>
  <c r="T115" i="7"/>
  <c r="W115" i="7" s="1"/>
  <c r="T105" i="7"/>
  <c r="W105" i="7" s="1"/>
  <c r="T81" i="7"/>
  <c r="W81" i="7" s="1"/>
  <c r="T117" i="7"/>
  <c r="W117" i="7" s="1"/>
  <c r="T107" i="7"/>
  <c r="W107" i="7" s="1"/>
  <c r="T101" i="7"/>
  <c r="W101" i="7" s="1"/>
  <c r="T82" i="7"/>
  <c r="W82" i="7" s="1"/>
  <c r="U106" i="7"/>
  <c r="X106" i="7" s="1"/>
  <c r="T88" i="7"/>
  <c r="W88" i="7" s="1"/>
  <c r="T106" i="7"/>
  <c r="W106" i="7" s="1"/>
  <c r="T93" i="7"/>
  <c r="W93" i="7" s="1"/>
  <c r="T84" i="7"/>
  <c r="W84" i="7" s="1"/>
  <c r="T116" i="7"/>
  <c r="W116" i="7" s="1"/>
  <c r="T119" i="7"/>
  <c r="W119" i="7" s="1"/>
  <c r="T112" i="7"/>
  <c r="W112" i="7" s="1"/>
  <c r="T104" i="7"/>
  <c r="W104" i="7" s="1"/>
  <c r="T98" i="7"/>
  <c r="W98" i="7" s="1"/>
  <c r="T87" i="7"/>
  <c r="W87" i="7" s="1"/>
  <c r="T111" i="7"/>
  <c r="W111" i="7" s="1"/>
  <c r="T118" i="7"/>
  <c r="W118" i="7" s="1"/>
  <c r="T90" i="7"/>
  <c r="W90" i="7" s="1"/>
  <c r="T96" i="7"/>
  <c r="W96" i="7" s="1"/>
  <c r="X96" i="7"/>
  <c r="T89" i="7"/>
  <c r="W89" i="7" s="1"/>
  <c r="U91" i="7"/>
  <c r="X91" i="7" s="1"/>
  <c r="U112" i="7"/>
  <c r="X112" i="7" s="1"/>
  <c r="U101" i="7"/>
  <c r="X101" i="7" s="1"/>
  <c r="U119" i="7"/>
  <c r="X119" i="7" s="1"/>
  <c r="U93" i="7"/>
  <c r="X93" i="7" s="1"/>
  <c r="U103" i="7"/>
  <c r="X103" i="7" s="1"/>
  <c r="U118" i="7"/>
  <c r="X118" i="7" s="1"/>
  <c r="U80" i="7"/>
  <c r="X80" i="7" s="1"/>
  <c r="U82" i="7"/>
  <c r="X82" i="7" s="1"/>
  <c r="U113" i="7"/>
  <c r="X113" i="7" s="1"/>
  <c r="U116" i="7"/>
  <c r="X116" i="7" s="1"/>
  <c r="U90" i="7"/>
  <c r="X90" i="7" s="1"/>
  <c r="U83" i="7"/>
  <c r="X83" i="7" s="1"/>
  <c r="U98" i="7"/>
  <c r="X98" i="7" s="1"/>
  <c r="U105" i="7"/>
  <c r="X105" i="7" s="1"/>
  <c r="U94" i="7"/>
  <c r="X94" i="7" s="1"/>
  <c r="U85" i="7"/>
  <c r="X85" i="7" s="1"/>
  <c r="U104" i="7"/>
  <c r="X104" i="7" s="1"/>
  <c r="U88" i="7"/>
  <c r="X88" i="7" s="1"/>
  <c r="U86" i="7"/>
  <c r="X86" i="7" s="1"/>
  <c r="U92" i="7"/>
  <c r="X92" i="7" s="1"/>
  <c r="U107" i="7"/>
  <c r="X107" i="7" s="1"/>
  <c r="U117" i="7"/>
  <c r="X117" i="7" s="1"/>
  <c r="U109" i="7"/>
  <c r="X109" i="7" s="1"/>
  <c r="U115" i="7"/>
  <c r="X115" i="7" s="1"/>
  <c r="U111" i="7"/>
  <c r="X111" i="7" s="1"/>
  <c r="U100" i="7"/>
  <c r="X100" i="7" s="1"/>
  <c r="U87" i="7"/>
  <c r="X87" i="7" s="1"/>
  <c r="U114" i="7"/>
  <c r="X114" i="7" s="1"/>
  <c r="U108" i="7"/>
  <c r="X108" i="7" s="1"/>
  <c r="U81" i="7"/>
  <c r="X81" i="7" s="1"/>
  <c r="U95" i="7"/>
  <c r="X95" i="7" s="1"/>
  <c r="U84" i="7"/>
  <c r="X84" i="7" s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2" i="6"/>
  <c r="O65" i="3"/>
  <c r="C121" i="3"/>
  <c r="D121" i="3" s="1"/>
  <c r="Q21" i="3"/>
  <c r="R121" i="3" s="1"/>
  <c r="Q20" i="3"/>
  <c r="J121" i="3" s="1"/>
  <c r="Q19" i="3"/>
  <c r="B101" i="3" s="1"/>
  <c r="J65" i="3"/>
  <c r="K65" i="3" s="1"/>
  <c r="L65" i="3" s="1"/>
  <c r="R65" i="3"/>
  <c r="M65" i="3"/>
  <c r="H65" i="3"/>
  <c r="E65" i="3"/>
  <c r="F65" i="3" s="1"/>
  <c r="G65" i="3" s="1"/>
  <c r="J61" i="3"/>
  <c r="K61" i="3" s="1"/>
  <c r="L61" i="3" s="1"/>
  <c r="L12" i="3"/>
  <c r="G24" i="3"/>
  <c r="G23" i="3"/>
  <c r="L14" i="3"/>
  <c r="X30" i="3" s="1"/>
  <c r="L13" i="3"/>
  <c r="T3" i="13" l="1"/>
  <c r="Z3" i="10"/>
  <c r="O5" i="11"/>
  <c r="O7" i="11" s="1"/>
  <c r="T5" i="13"/>
  <c r="T7" i="13" s="1"/>
  <c r="Z5" i="10"/>
  <c r="Z7" i="10" s="1"/>
  <c r="O9" i="11"/>
  <c r="O11" i="11" s="1"/>
  <c r="B103" i="3"/>
  <c r="B107" i="3"/>
  <c r="B111" i="3"/>
  <c r="B115" i="3"/>
  <c r="B104" i="3"/>
  <c r="B108" i="3"/>
  <c r="B112" i="3"/>
  <c r="B116" i="3"/>
  <c r="B120" i="3"/>
  <c r="B110" i="3"/>
  <c r="B118" i="3"/>
  <c r="B102" i="3"/>
  <c r="B105" i="3"/>
  <c r="B109" i="3"/>
  <c r="B113" i="3"/>
  <c r="B117" i="3"/>
  <c r="B106" i="3"/>
  <c r="B114" i="3"/>
  <c r="B119" i="3"/>
  <c r="O3" i="11"/>
  <c r="T30" i="3"/>
  <c r="T80" i="3"/>
  <c r="W80" i="3" s="1"/>
  <c r="W35" i="3"/>
  <c r="P65" i="3"/>
  <c r="Q65" i="3" s="1"/>
  <c r="S65" i="3" s="1"/>
  <c r="V65" i="3"/>
  <c r="I71" i="3"/>
  <c r="I68" i="3"/>
  <c r="I73" i="3"/>
  <c r="I70" i="3"/>
  <c r="I72" i="3"/>
  <c r="I69" i="3"/>
  <c r="I75" i="3"/>
  <c r="I74" i="3"/>
  <c r="I76" i="3"/>
  <c r="N68" i="3"/>
  <c r="N69" i="3"/>
  <c r="N73" i="3"/>
  <c r="N75" i="3"/>
  <c r="N70" i="3"/>
  <c r="N71" i="3"/>
  <c r="N72" i="3"/>
  <c r="N74" i="3"/>
  <c r="N76" i="3"/>
  <c r="J101" i="3"/>
  <c r="K101" i="3" s="1"/>
  <c r="L101" i="3" s="1"/>
  <c r="L16" i="3"/>
  <c r="I23" i="3" s="1"/>
  <c r="B41" i="3"/>
  <c r="R41" i="3" s="1"/>
  <c r="E56" i="3"/>
  <c r="F56" i="3" s="1"/>
  <c r="G56" i="3" s="1"/>
  <c r="B40" i="3"/>
  <c r="O40" i="3" s="1"/>
  <c r="O57" i="3"/>
  <c r="O121" i="3"/>
  <c r="P121" i="3" s="1"/>
  <c r="B45" i="3"/>
  <c r="C45" i="3" s="1"/>
  <c r="D45" i="3" s="1"/>
  <c r="B38" i="3"/>
  <c r="J38" i="3" s="1"/>
  <c r="K38" i="3" s="1"/>
  <c r="L38" i="3" s="1"/>
  <c r="O101" i="3"/>
  <c r="P101" i="3" s="1"/>
  <c r="Q101" i="3" s="1"/>
  <c r="B44" i="3"/>
  <c r="R44" i="3" s="1"/>
  <c r="B36" i="3"/>
  <c r="R36" i="3" s="1"/>
  <c r="O61" i="3"/>
  <c r="O56" i="3"/>
  <c r="B42" i="3"/>
  <c r="O42" i="3" s="1"/>
  <c r="B37" i="3"/>
  <c r="J37" i="3" s="1"/>
  <c r="K37" i="3" s="1"/>
  <c r="L37" i="3" s="1"/>
  <c r="C101" i="3"/>
  <c r="D101" i="3" s="1"/>
  <c r="M101" i="3"/>
  <c r="E121" i="3"/>
  <c r="H121" i="3"/>
  <c r="B81" i="3"/>
  <c r="C40" i="3"/>
  <c r="D40" i="3" s="1"/>
  <c r="B48" i="3"/>
  <c r="O48" i="3" s="1"/>
  <c r="B52" i="3"/>
  <c r="O52" i="3" s="1"/>
  <c r="O58" i="3"/>
  <c r="O62" i="3"/>
  <c r="O67" i="3"/>
  <c r="B55" i="3"/>
  <c r="B49" i="3"/>
  <c r="J49" i="3" s="1"/>
  <c r="K49" i="3" s="1"/>
  <c r="L49" i="3" s="1"/>
  <c r="B53" i="3"/>
  <c r="O53" i="3" s="1"/>
  <c r="O59" i="3"/>
  <c r="O63" i="3"/>
  <c r="R56" i="3"/>
  <c r="B46" i="3"/>
  <c r="O46" i="3" s="1"/>
  <c r="B50" i="3"/>
  <c r="O50" i="3" s="1"/>
  <c r="B54" i="3"/>
  <c r="O54" i="3" s="1"/>
  <c r="O60" i="3"/>
  <c r="O64" i="3"/>
  <c r="B43" i="3"/>
  <c r="O43" i="3" s="1"/>
  <c r="B39" i="3"/>
  <c r="O39" i="3" s="1"/>
  <c r="J56" i="3"/>
  <c r="K56" i="3" s="1"/>
  <c r="L56" i="3" s="1"/>
  <c r="B51" i="3"/>
  <c r="O51" i="3" s="1"/>
  <c r="E66" i="3"/>
  <c r="F66" i="3" s="1"/>
  <c r="G66" i="3" s="1"/>
  <c r="B47" i="3"/>
  <c r="O47" i="3" s="1"/>
  <c r="M121" i="3"/>
  <c r="K121" i="3"/>
  <c r="L121" i="3" s="1"/>
  <c r="H101" i="3"/>
  <c r="R101" i="3"/>
  <c r="E101" i="3"/>
  <c r="N65" i="3"/>
  <c r="H61" i="3"/>
  <c r="C61" i="3"/>
  <c r="D61" i="3" s="1"/>
  <c r="E59" i="3"/>
  <c r="F59" i="3" s="1"/>
  <c r="G59" i="3" s="1"/>
  <c r="R59" i="3"/>
  <c r="I65" i="3"/>
  <c r="M61" i="3"/>
  <c r="N61" i="3" s="1"/>
  <c r="E61" i="3"/>
  <c r="F61" i="3" s="1"/>
  <c r="G61" i="3" s="1"/>
  <c r="R61" i="3"/>
  <c r="C65" i="3"/>
  <c r="D65" i="3" s="1"/>
  <c r="C56" i="3"/>
  <c r="D56" i="3" s="1"/>
  <c r="M56" i="3"/>
  <c r="H56" i="3"/>
  <c r="O6" i="11" l="1"/>
  <c r="O10" i="11"/>
  <c r="Z10" i="10"/>
  <c r="AA39" i="10" s="1"/>
  <c r="Z6" i="10"/>
  <c r="AA38" i="10" s="1"/>
  <c r="T6" i="13"/>
  <c r="E40" i="3"/>
  <c r="F40" i="3" s="1"/>
  <c r="G40" i="3" s="1"/>
  <c r="P50" i="3"/>
  <c r="V50" i="3"/>
  <c r="P67" i="3"/>
  <c r="Q67" i="3" s="1"/>
  <c r="V67" i="3"/>
  <c r="P48" i="3"/>
  <c r="V48" i="3"/>
  <c r="F121" i="3"/>
  <c r="G121" i="3" s="1"/>
  <c r="I121" i="3" s="1"/>
  <c r="V121" i="3"/>
  <c r="U69" i="3"/>
  <c r="X69" i="3" s="1"/>
  <c r="T69" i="3"/>
  <c r="W69" i="3" s="1"/>
  <c r="P51" i="3"/>
  <c r="V51" i="3"/>
  <c r="P64" i="3"/>
  <c r="Q64" i="3" s="1"/>
  <c r="V64" i="3"/>
  <c r="P53" i="3"/>
  <c r="Q53" i="3" s="1"/>
  <c r="V53" i="3"/>
  <c r="U76" i="3"/>
  <c r="X76" i="3" s="1"/>
  <c r="T76" i="3"/>
  <c r="W76" i="3" s="1"/>
  <c r="U71" i="3"/>
  <c r="X71" i="3" s="1"/>
  <c r="T71" i="3"/>
  <c r="W71" i="3" s="1"/>
  <c r="F101" i="3"/>
  <c r="G101" i="3" s="1"/>
  <c r="V101" i="3"/>
  <c r="P60" i="3"/>
  <c r="Q60" i="3" s="1"/>
  <c r="V60" i="3"/>
  <c r="P58" i="3"/>
  <c r="V58" i="3"/>
  <c r="P56" i="3"/>
  <c r="Q56" i="3" s="1"/>
  <c r="S56" i="3" s="1"/>
  <c r="V56" i="3"/>
  <c r="P57" i="3"/>
  <c r="Q57" i="3" s="1"/>
  <c r="V57" i="3"/>
  <c r="T74" i="3"/>
  <c r="W74" i="3" s="1"/>
  <c r="U74" i="3"/>
  <c r="X74" i="3" s="1"/>
  <c r="U70" i="3"/>
  <c r="X70" i="3" s="1"/>
  <c r="T70" i="3"/>
  <c r="W70" i="3" s="1"/>
  <c r="P43" i="3"/>
  <c r="V43" i="3"/>
  <c r="P59" i="3"/>
  <c r="Q59" i="3" s="1"/>
  <c r="S59" i="3" s="1"/>
  <c r="V59" i="3"/>
  <c r="U68" i="3"/>
  <c r="X68" i="3" s="1"/>
  <c r="T68" i="3"/>
  <c r="W68" i="3" s="1"/>
  <c r="P46" i="3"/>
  <c r="V46" i="3"/>
  <c r="P62" i="3"/>
  <c r="V62" i="3"/>
  <c r="P42" i="3"/>
  <c r="Q42" i="3" s="1"/>
  <c r="V42" i="3"/>
  <c r="T72" i="3"/>
  <c r="W72" i="3" s="1"/>
  <c r="U72" i="3"/>
  <c r="X72" i="3" s="1"/>
  <c r="P47" i="3"/>
  <c r="V47" i="3"/>
  <c r="P39" i="3"/>
  <c r="V39" i="3"/>
  <c r="P54" i="3"/>
  <c r="V54" i="3"/>
  <c r="P63" i="3"/>
  <c r="V63" i="3"/>
  <c r="P52" i="3"/>
  <c r="V52" i="3"/>
  <c r="P61" i="3"/>
  <c r="Q61" i="3" s="1"/>
  <c r="S61" i="3" s="1"/>
  <c r="V61" i="3"/>
  <c r="P40" i="3"/>
  <c r="Q40" i="3" s="1"/>
  <c r="V40" i="3"/>
  <c r="T75" i="3"/>
  <c r="W75" i="3" s="1"/>
  <c r="U75" i="3"/>
  <c r="X75" i="3" s="1"/>
  <c r="T73" i="3"/>
  <c r="W73" i="3" s="1"/>
  <c r="U73" i="3"/>
  <c r="X73" i="3" s="1"/>
  <c r="U65" i="3"/>
  <c r="X65" i="3" s="1"/>
  <c r="T65" i="3"/>
  <c r="W65" i="3" s="1"/>
  <c r="M53" i="3"/>
  <c r="J53" i="3"/>
  <c r="K53" i="3" s="1"/>
  <c r="L53" i="3" s="1"/>
  <c r="H40" i="3"/>
  <c r="I40" i="3" s="1"/>
  <c r="I24" i="3"/>
  <c r="G26" i="3"/>
  <c r="J112" i="3"/>
  <c r="C115" i="3"/>
  <c r="D115" i="3" s="1"/>
  <c r="R108" i="3"/>
  <c r="J107" i="3"/>
  <c r="K107" i="3" s="1"/>
  <c r="L107" i="3" s="1"/>
  <c r="C106" i="3"/>
  <c r="D106" i="3" s="1"/>
  <c r="M113" i="3"/>
  <c r="R118" i="3"/>
  <c r="M40" i="3"/>
  <c r="J40" i="3"/>
  <c r="K40" i="3" s="1"/>
  <c r="L40" i="3" s="1"/>
  <c r="J45" i="3"/>
  <c r="K45" i="3" s="1"/>
  <c r="L45" i="3" s="1"/>
  <c r="R40" i="3"/>
  <c r="C81" i="3"/>
  <c r="D81" i="3" s="1"/>
  <c r="M45" i="3"/>
  <c r="R45" i="3"/>
  <c r="M41" i="3"/>
  <c r="B96" i="3"/>
  <c r="J96" i="3" s="1"/>
  <c r="K96" i="3" s="1"/>
  <c r="L96" i="3" s="1"/>
  <c r="J81" i="3"/>
  <c r="K81" i="3" s="1"/>
  <c r="L81" i="3" s="1"/>
  <c r="H36" i="3"/>
  <c r="E36" i="3"/>
  <c r="F36" i="3" s="1"/>
  <c r="G36" i="3" s="1"/>
  <c r="E45" i="3"/>
  <c r="F45" i="3" s="1"/>
  <c r="G45" i="3" s="1"/>
  <c r="R37" i="3"/>
  <c r="N121" i="3"/>
  <c r="J57" i="3"/>
  <c r="K57" i="3" s="1"/>
  <c r="L57" i="3" s="1"/>
  <c r="C38" i="3"/>
  <c r="D38" i="3" s="1"/>
  <c r="J36" i="3"/>
  <c r="K36" i="3" s="1"/>
  <c r="L36" i="3" s="1"/>
  <c r="R38" i="3"/>
  <c r="E57" i="3"/>
  <c r="F57" i="3" s="1"/>
  <c r="G57" i="3" s="1"/>
  <c r="M36" i="3"/>
  <c r="M38" i="3"/>
  <c r="N38" i="3" s="1"/>
  <c r="N101" i="3"/>
  <c r="H57" i="3"/>
  <c r="J41" i="3"/>
  <c r="K41" i="3" s="1"/>
  <c r="L41" i="3" s="1"/>
  <c r="E38" i="3"/>
  <c r="F38" i="3" s="1"/>
  <c r="G38" i="3" s="1"/>
  <c r="M44" i="3"/>
  <c r="B83" i="3"/>
  <c r="J83" i="3" s="1"/>
  <c r="K83" i="3" s="1"/>
  <c r="L83" i="3" s="1"/>
  <c r="R116" i="3"/>
  <c r="C44" i="3"/>
  <c r="D44" i="3" s="1"/>
  <c r="E41" i="3"/>
  <c r="F41" i="3" s="1"/>
  <c r="G41" i="3" s="1"/>
  <c r="E44" i="3"/>
  <c r="F44" i="3" s="1"/>
  <c r="G44" i="3" s="1"/>
  <c r="R42" i="3"/>
  <c r="M57" i="3"/>
  <c r="C57" i="3"/>
  <c r="D57" i="3" s="1"/>
  <c r="R57" i="3"/>
  <c r="H44" i="3"/>
  <c r="H41" i="3"/>
  <c r="B99" i="3"/>
  <c r="J99" i="3" s="1"/>
  <c r="B92" i="3"/>
  <c r="E92" i="3" s="1"/>
  <c r="I56" i="3"/>
  <c r="H66" i="3"/>
  <c r="I66" i="3" s="1"/>
  <c r="O66" i="3"/>
  <c r="H55" i="3"/>
  <c r="O55" i="3"/>
  <c r="M42" i="3"/>
  <c r="S101" i="3"/>
  <c r="B87" i="3"/>
  <c r="R87" i="3" s="1"/>
  <c r="C41" i="3"/>
  <c r="D41" i="3" s="1"/>
  <c r="O41" i="3"/>
  <c r="E120" i="3"/>
  <c r="E49" i="3"/>
  <c r="F49" i="3" s="1"/>
  <c r="G49" i="3" s="1"/>
  <c r="O49" i="3"/>
  <c r="E47" i="3"/>
  <c r="F47" i="3" s="1"/>
  <c r="G47" i="3" s="1"/>
  <c r="Q121" i="3"/>
  <c r="S121" i="3" s="1"/>
  <c r="E42" i="3"/>
  <c r="F42" i="3" s="1"/>
  <c r="G42" i="3" s="1"/>
  <c r="C113" i="3"/>
  <c r="D113" i="3" s="1"/>
  <c r="E117" i="3"/>
  <c r="B85" i="3"/>
  <c r="C85" i="3" s="1"/>
  <c r="D85" i="3" s="1"/>
  <c r="B89" i="3"/>
  <c r="R89" i="3" s="1"/>
  <c r="B93" i="3"/>
  <c r="H93" i="3" s="1"/>
  <c r="B97" i="3"/>
  <c r="R97" i="3" s="1"/>
  <c r="B82" i="3"/>
  <c r="M82" i="3" s="1"/>
  <c r="O81" i="3"/>
  <c r="P81" i="3" s="1"/>
  <c r="J110" i="3"/>
  <c r="C102" i="3"/>
  <c r="D102" i="3" s="1"/>
  <c r="B86" i="3"/>
  <c r="R86" i="3" s="1"/>
  <c r="B90" i="3"/>
  <c r="M90" i="3" s="1"/>
  <c r="B94" i="3"/>
  <c r="E94" i="3" s="1"/>
  <c r="B98" i="3"/>
  <c r="R98" i="3" s="1"/>
  <c r="C36" i="3"/>
  <c r="D36" i="3" s="1"/>
  <c r="O36" i="3"/>
  <c r="B91" i="3"/>
  <c r="H91" i="3" s="1"/>
  <c r="H38" i="3"/>
  <c r="O38" i="3"/>
  <c r="B84" i="3"/>
  <c r="J84" i="3" s="1"/>
  <c r="B100" i="3"/>
  <c r="J100" i="3" s="1"/>
  <c r="O107" i="3"/>
  <c r="P107" i="3" s="1"/>
  <c r="K99" i="3"/>
  <c r="L99" i="3" s="1"/>
  <c r="J42" i="3"/>
  <c r="K42" i="3" s="1"/>
  <c r="L42" i="3" s="1"/>
  <c r="H37" i="3"/>
  <c r="O37" i="3"/>
  <c r="J44" i="3"/>
  <c r="K44" i="3" s="1"/>
  <c r="L44" i="3" s="1"/>
  <c r="O44" i="3"/>
  <c r="H103" i="3"/>
  <c r="B95" i="3"/>
  <c r="M95" i="3" s="1"/>
  <c r="H45" i="3"/>
  <c r="O45" i="3"/>
  <c r="B88" i="3"/>
  <c r="J88" i="3" s="1"/>
  <c r="R66" i="3"/>
  <c r="C37" i="3"/>
  <c r="D37" i="3" s="1"/>
  <c r="M37" i="3"/>
  <c r="N37" i="3" s="1"/>
  <c r="M66" i="3"/>
  <c r="M49" i="3"/>
  <c r="N49" i="3" s="1"/>
  <c r="E37" i="3"/>
  <c r="F37" i="3" s="1"/>
  <c r="G37" i="3" s="1"/>
  <c r="C42" i="3"/>
  <c r="D42" i="3" s="1"/>
  <c r="H42" i="3"/>
  <c r="I101" i="3"/>
  <c r="R51" i="3"/>
  <c r="M51" i="3"/>
  <c r="H51" i="3"/>
  <c r="J51" i="3"/>
  <c r="K51" i="3" s="1"/>
  <c r="L51" i="3" s="1"/>
  <c r="C51" i="3"/>
  <c r="D51" i="3" s="1"/>
  <c r="E51" i="3"/>
  <c r="F51" i="3" s="1"/>
  <c r="G51" i="3" s="1"/>
  <c r="R63" i="3"/>
  <c r="C63" i="3"/>
  <c r="D63" i="3" s="1"/>
  <c r="M63" i="3"/>
  <c r="E62" i="3"/>
  <c r="F62" i="3" s="1"/>
  <c r="G62" i="3" s="1"/>
  <c r="Q62" i="3"/>
  <c r="H62" i="3"/>
  <c r="R62" i="3"/>
  <c r="J62" i="3"/>
  <c r="K62" i="3" s="1"/>
  <c r="L62" i="3" s="1"/>
  <c r="M62" i="3"/>
  <c r="C62" i="3"/>
  <c r="D62" i="3" s="1"/>
  <c r="C60" i="3"/>
  <c r="D60" i="3" s="1"/>
  <c r="M60" i="3"/>
  <c r="E60" i="3"/>
  <c r="F60" i="3" s="1"/>
  <c r="G60" i="3" s="1"/>
  <c r="H60" i="3"/>
  <c r="J60" i="3"/>
  <c r="K60" i="3" s="1"/>
  <c r="L60" i="3" s="1"/>
  <c r="R60" i="3"/>
  <c r="E118" i="3"/>
  <c r="E63" i="3"/>
  <c r="F63" i="3" s="1"/>
  <c r="G63" i="3" s="1"/>
  <c r="R47" i="3"/>
  <c r="M47" i="3"/>
  <c r="H47" i="3"/>
  <c r="C47" i="3"/>
  <c r="D47" i="3" s="1"/>
  <c r="J47" i="3"/>
  <c r="K47" i="3" s="1"/>
  <c r="L47" i="3" s="1"/>
  <c r="M110" i="3"/>
  <c r="M39" i="3"/>
  <c r="E39" i="3"/>
  <c r="F39" i="3" s="1"/>
  <c r="G39" i="3" s="1"/>
  <c r="H39" i="3"/>
  <c r="C39" i="3"/>
  <c r="D39" i="3" s="1"/>
  <c r="J39" i="3"/>
  <c r="K39" i="3" s="1"/>
  <c r="L39" i="3" s="1"/>
  <c r="R39" i="3"/>
  <c r="M54" i="3"/>
  <c r="R54" i="3"/>
  <c r="E54" i="3"/>
  <c r="F54" i="3" s="1"/>
  <c r="G54" i="3" s="1"/>
  <c r="C54" i="3"/>
  <c r="D54" i="3" s="1"/>
  <c r="J54" i="3"/>
  <c r="K54" i="3" s="1"/>
  <c r="L54" i="3" s="1"/>
  <c r="H54" i="3"/>
  <c r="E109" i="3"/>
  <c r="R53" i="3"/>
  <c r="H53" i="3"/>
  <c r="E53" i="3"/>
  <c r="F53" i="3" s="1"/>
  <c r="G53" i="3" s="1"/>
  <c r="C53" i="3"/>
  <c r="D53" i="3" s="1"/>
  <c r="R52" i="3"/>
  <c r="M52" i="3"/>
  <c r="E52" i="3"/>
  <c r="F52" i="3" s="1"/>
  <c r="G52" i="3" s="1"/>
  <c r="J52" i="3"/>
  <c r="K52" i="3" s="1"/>
  <c r="L52" i="3" s="1"/>
  <c r="C52" i="3"/>
  <c r="D52" i="3" s="1"/>
  <c r="H52" i="3"/>
  <c r="E89" i="3"/>
  <c r="R114" i="3"/>
  <c r="C116" i="3"/>
  <c r="D116" i="3" s="1"/>
  <c r="C64" i="3"/>
  <c r="D64" i="3" s="1"/>
  <c r="M64" i="3"/>
  <c r="E64" i="3"/>
  <c r="F64" i="3" s="1"/>
  <c r="G64" i="3" s="1"/>
  <c r="H64" i="3"/>
  <c r="J64" i="3"/>
  <c r="K64" i="3" s="1"/>
  <c r="L64" i="3" s="1"/>
  <c r="R64" i="3"/>
  <c r="M46" i="3"/>
  <c r="H46" i="3"/>
  <c r="J46" i="3"/>
  <c r="K46" i="3" s="1"/>
  <c r="L46" i="3" s="1"/>
  <c r="R46" i="3"/>
  <c r="E46" i="3"/>
  <c r="F46" i="3" s="1"/>
  <c r="G46" i="3" s="1"/>
  <c r="C46" i="3"/>
  <c r="D46" i="3" s="1"/>
  <c r="R55" i="3"/>
  <c r="C55" i="3"/>
  <c r="D55" i="3" s="1"/>
  <c r="J55" i="3"/>
  <c r="K55" i="3" s="1"/>
  <c r="L55" i="3" s="1"/>
  <c r="E55" i="3"/>
  <c r="F55" i="3" s="1"/>
  <c r="G55" i="3" s="1"/>
  <c r="E104" i="3"/>
  <c r="J59" i="3"/>
  <c r="K59" i="3" s="1"/>
  <c r="L59" i="3" s="1"/>
  <c r="H59" i="3"/>
  <c r="I59" i="3" s="1"/>
  <c r="C58" i="3"/>
  <c r="D58" i="3" s="1"/>
  <c r="M58" i="3"/>
  <c r="E58" i="3"/>
  <c r="F58" i="3" s="1"/>
  <c r="G58" i="3" s="1"/>
  <c r="Q58" i="3"/>
  <c r="H58" i="3"/>
  <c r="J58" i="3"/>
  <c r="K58" i="3" s="1"/>
  <c r="L58" i="3" s="1"/>
  <c r="N58" i="3" s="1"/>
  <c r="R58" i="3"/>
  <c r="M55" i="3"/>
  <c r="C59" i="3"/>
  <c r="D59" i="3" s="1"/>
  <c r="H63" i="3"/>
  <c r="I61" i="3"/>
  <c r="T61" i="3" s="1"/>
  <c r="W61" i="3" s="1"/>
  <c r="Q63" i="3"/>
  <c r="M59" i="3"/>
  <c r="J63" i="3"/>
  <c r="K63" i="3" s="1"/>
  <c r="L63" i="3" s="1"/>
  <c r="C66" i="3"/>
  <c r="D66" i="3" s="1"/>
  <c r="J66" i="3"/>
  <c r="K66" i="3" s="1"/>
  <c r="L66" i="3" s="1"/>
  <c r="M43" i="3"/>
  <c r="E43" i="3"/>
  <c r="F43" i="3" s="1"/>
  <c r="G43" i="3" s="1"/>
  <c r="R43" i="3"/>
  <c r="H43" i="3"/>
  <c r="C43" i="3"/>
  <c r="D43" i="3" s="1"/>
  <c r="J43" i="3"/>
  <c r="K43" i="3" s="1"/>
  <c r="L43" i="3" s="1"/>
  <c r="R50" i="3"/>
  <c r="M50" i="3"/>
  <c r="J50" i="3"/>
  <c r="K50" i="3" s="1"/>
  <c r="L50" i="3" s="1"/>
  <c r="E50" i="3"/>
  <c r="F50" i="3" s="1"/>
  <c r="G50" i="3" s="1"/>
  <c r="H50" i="3"/>
  <c r="C50" i="3"/>
  <c r="D50" i="3" s="1"/>
  <c r="R49" i="3"/>
  <c r="H49" i="3"/>
  <c r="C49" i="3"/>
  <c r="D49" i="3" s="1"/>
  <c r="M108" i="3"/>
  <c r="E108" i="3"/>
  <c r="E67" i="3"/>
  <c r="F67" i="3" s="1"/>
  <c r="G67" i="3" s="1"/>
  <c r="H67" i="3"/>
  <c r="R67" i="3"/>
  <c r="J67" i="3"/>
  <c r="K67" i="3" s="1"/>
  <c r="L67" i="3" s="1"/>
  <c r="M67" i="3"/>
  <c r="C67" i="3"/>
  <c r="D67" i="3" s="1"/>
  <c r="M48" i="3"/>
  <c r="H48" i="3"/>
  <c r="R48" i="3"/>
  <c r="J48" i="3"/>
  <c r="K48" i="3" s="1"/>
  <c r="L48" i="3" s="1"/>
  <c r="E48" i="3"/>
  <c r="F48" i="3" s="1"/>
  <c r="G48" i="3" s="1"/>
  <c r="C48" i="3"/>
  <c r="D48" i="3" s="1"/>
  <c r="R81" i="3"/>
  <c r="M81" i="3"/>
  <c r="E81" i="3"/>
  <c r="H81" i="3"/>
  <c r="N56" i="3"/>
  <c r="H64" i="4"/>
  <c r="H63" i="4"/>
  <c r="H68" i="4" s="1"/>
  <c r="H62" i="4"/>
  <c r="H31" i="4"/>
  <c r="H28" i="4"/>
  <c r="H20" i="4"/>
  <c r="H22" i="4" s="1"/>
  <c r="H23" i="4" s="1"/>
  <c r="H89" i="4"/>
  <c r="H101" i="4"/>
  <c r="H102" i="4" s="1"/>
  <c r="H90" i="4"/>
  <c r="H92" i="4" s="1"/>
  <c r="H96" i="4" s="1"/>
  <c r="F83" i="4"/>
  <c r="H83" i="4" s="1"/>
  <c r="H10" i="4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5" i="1"/>
  <c r="E5" i="1" s="1"/>
  <c r="D4" i="1"/>
  <c r="E4" i="1" s="1"/>
  <c r="S57" i="3" l="1"/>
  <c r="N60" i="3"/>
  <c r="AJ40" i="10"/>
  <c r="AC39" i="10" a="1"/>
  <c r="AC39" i="10" s="1"/>
  <c r="AL40" i="10" s="1"/>
  <c r="AB39" i="10"/>
  <c r="AK40" i="10" s="1"/>
  <c r="U41" i="13"/>
  <c r="U42" i="13"/>
  <c r="AC38" i="10" a="1"/>
  <c r="AC38" i="10" s="1"/>
  <c r="AL38" i="10" s="1"/>
  <c r="AB38" i="10"/>
  <c r="AK38" i="10" s="1"/>
  <c r="AJ38" i="10"/>
  <c r="F4" i="1"/>
  <c r="G4" i="1" s="1"/>
  <c r="U101" i="3"/>
  <c r="X101" i="3" s="1"/>
  <c r="N53" i="3"/>
  <c r="N64" i="3"/>
  <c r="U56" i="3"/>
  <c r="X56" i="3" s="1"/>
  <c r="H86" i="3"/>
  <c r="S53" i="3"/>
  <c r="U121" i="3"/>
  <c r="X121" i="3" s="1"/>
  <c r="T121" i="3"/>
  <c r="W121" i="3" s="1"/>
  <c r="F94" i="3"/>
  <c r="G94" i="3" s="1"/>
  <c r="V94" i="3"/>
  <c r="T56" i="3"/>
  <c r="W56" i="3" s="1"/>
  <c r="P26" i="11"/>
  <c r="P24" i="11"/>
  <c r="F108" i="3"/>
  <c r="G108" i="3" s="1"/>
  <c r="V108" i="3"/>
  <c r="F89" i="3"/>
  <c r="G89" i="3" s="1"/>
  <c r="V89" i="3"/>
  <c r="P44" i="3"/>
  <c r="Q44" i="3" s="1"/>
  <c r="S44" i="3" s="1"/>
  <c r="V44" i="3"/>
  <c r="P25" i="11"/>
  <c r="P23" i="11"/>
  <c r="H96" i="3"/>
  <c r="P38" i="3"/>
  <c r="Q38" i="3" s="1"/>
  <c r="S38" i="3" s="1"/>
  <c r="V38" i="3"/>
  <c r="F120" i="3"/>
  <c r="G120" i="3" s="1"/>
  <c r="V120" i="3"/>
  <c r="P66" i="3"/>
  <c r="Q66" i="3" s="1"/>
  <c r="S66" i="3" s="1"/>
  <c r="V66" i="3"/>
  <c r="T101" i="3"/>
  <c r="W101" i="3" s="1"/>
  <c r="U61" i="3"/>
  <c r="X61" i="3" s="1"/>
  <c r="F109" i="3"/>
  <c r="G109" i="3" s="1"/>
  <c r="V109" i="3"/>
  <c r="P49" i="3"/>
  <c r="Q49" i="3" s="1"/>
  <c r="S49" i="3" s="1"/>
  <c r="V49" i="3"/>
  <c r="P55" i="3"/>
  <c r="Q55" i="3" s="1"/>
  <c r="V55" i="3"/>
  <c r="F81" i="3"/>
  <c r="G81" i="3" s="1"/>
  <c r="I81" i="3" s="1"/>
  <c r="V81" i="3"/>
  <c r="F104" i="3"/>
  <c r="G104" i="3" s="1"/>
  <c r="V104" i="3"/>
  <c r="F118" i="3"/>
  <c r="G118" i="3" s="1"/>
  <c r="V118" i="3"/>
  <c r="P45" i="3"/>
  <c r="Q45" i="3" s="1"/>
  <c r="S45" i="3" s="1"/>
  <c r="V45" i="3"/>
  <c r="P36" i="3"/>
  <c r="Q36" i="3" s="1"/>
  <c r="S36" i="3" s="1"/>
  <c r="V36" i="3"/>
  <c r="F92" i="3"/>
  <c r="G92" i="3" s="1"/>
  <c r="V92" i="3"/>
  <c r="E87" i="3"/>
  <c r="P37" i="3"/>
  <c r="Q37" i="3" s="1"/>
  <c r="S37" i="3" s="1"/>
  <c r="V37" i="3"/>
  <c r="F117" i="3"/>
  <c r="G117" i="3" s="1"/>
  <c r="V117" i="3"/>
  <c r="P41" i="3"/>
  <c r="Q41" i="3" s="1"/>
  <c r="S41" i="3" s="1"/>
  <c r="V41" i="3"/>
  <c r="E82" i="3"/>
  <c r="C92" i="3"/>
  <c r="D92" i="3" s="1"/>
  <c r="R95" i="3"/>
  <c r="E95" i="3"/>
  <c r="H94" i="3"/>
  <c r="M99" i="3"/>
  <c r="N99" i="3" s="1"/>
  <c r="M83" i="3"/>
  <c r="N83" i="3" s="1"/>
  <c r="E99" i="3"/>
  <c r="R99" i="3"/>
  <c r="E83" i="3"/>
  <c r="R83" i="3"/>
  <c r="O99" i="3"/>
  <c r="P99" i="3" s="1"/>
  <c r="Q99" i="3" s="1"/>
  <c r="C107" i="3"/>
  <c r="D107" i="3" s="1"/>
  <c r="C99" i="3"/>
  <c r="D99" i="3" s="1"/>
  <c r="C83" i="3"/>
  <c r="D83" i="3" s="1"/>
  <c r="H99" i="3"/>
  <c r="H83" i="3"/>
  <c r="O83" i="3"/>
  <c r="P83" i="3" s="1"/>
  <c r="Q83" i="3" s="1"/>
  <c r="H107" i="3"/>
  <c r="M107" i="3"/>
  <c r="N107" i="3" s="1"/>
  <c r="C95" i="3"/>
  <c r="D95" i="3" s="1"/>
  <c r="E107" i="3"/>
  <c r="R107" i="3"/>
  <c r="E90" i="3"/>
  <c r="N40" i="3"/>
  <c r="S40" i="3"/>
  <c r="N63" i="3"/>
  <c r="I37" i="3"/>
  <c r="N41" i="3"/>
  <c r="M120" i="3"/>
  <c r="R115" i="3"/>
  <c r="M87" i="3"/>
  <c r="H120" i="3"/>
  <c r="E96" i="3"/>
  <c r="R92" i="3"/>
  <c r="I53" i="3"/>
  <c r="I45" i="3"/>
  <c r="M116" i="3"/>
  <c r="O96" i="3"/>
  <c r="P96" i="3" s="1"/>
  <c r="Q96" i="3" s="1"/>
  <c r="M96" i="3"/>
  <c r="N96" i="3" s="1"/>
  <c r="C96" i="3"/>
  <c r="D96" i="3" s="1"/>
  <c r="R96" i="3"/>
  <c r="N45" i="3"/>
  <c r="M103" i="3"/>
  <c r="I49" i="3"/>
  <c r="I41" i="3"/>
  <c r="I36" i="3"/>
  <c r="N36" i="3"/>
  <c r="E93" i="3"/>
  <c r="N44" i="3"/>
  <c r="I57" i="3"/>
  <c r="S58" i="3"/>
  <c r="C103" i="3"/>
  <c r="D103" i="3" s="1"/>
  <c r="J103" i="3"/>
  <c r="K103" i="3" s="1"/>
  <c r="L103" i="3" s="1"/>
  <c r="E91" i="3"/>
  <c r="J91" i="3"/>
  <c r="K91" i="3" s="1"/>
  <c r="L91" i="3" s="1"/>
  <c r="M98" i="3"/>
  <c r="J98" i="3"/>
  <c r="K98" i="3" s="1"/>
  <c r="L98" i="3" s="1"/>
  <c r="E102" i="3"/>
  <c r="J102" i="3"/>
  <c r="K102" i="3" s="1"/>
  <c r="L102" i="3" s="1"/>
  <c r="M106" i="3"/>
  <c r="J106" i="3"/>
  <c r="K106" i="3" s="1"/>
  <c r="L106" i="3" s="1"/>
  <c r="R93" i="3"/>
  <c r="J93" i="3"/>
  <c r="K93" i="3" s="1"/>
  <c r="L93" i="3" s="1"/>
  <c r="C117" i="3"/>
  <c r="D117" i="3" s="1"/>
  <c r="J117" i="3"/>
  <c r="K117" i="3" s="1"/>
  <c r="L117" i="3" s="1"/>
  <c r="H108" i="3"/>
  <c r="J108" i="3"/>
  <c r="K108" i="3" s="1"/>
  <c r="L108" i="3" s="1"/>
  <c r="N108" i="3" s="1"/>
  <c r="E115" i="3"/>
  <c r="J115" i="3"/>
  <c r="K115" i="3" s="1"/>
  <c r="L115" i="3" s="1"/>
  <c r="R94" i="3"/>
  <c r="J94" i="3"/>
  <c r="K94" i="3" s="1"/>
  <c r="L94" i="3" s="1"/>
  <c r="C118" i="3"/>
  <c r="D118" i="3" s="1"/>
  <c r="J118" i="3"/>
  <c r="K118" i="3" s="1"/>
  <c r="L118" i="3" s="1"/>
  <c r="H89" i="3"/>
  <c r="J89" i="3"/>
  <c r="K89" i="3" s="1"/>
  <c r="L89" i="3" s="1"/>
  <c r="R113" i="3"/>
  <c r="J113" i="3"/>
  <c r="K113" i="3" s="1"/>
  <c r="L113" i="3" s="1"/>
  <c r="N113" i="3" s="1"/>
  <c r="C120" i="3"/>
  <c r="D120" i="3" s="1"/>
  <c r="J120" i="3"/>
  <c r="K120" i="3" s="1"/>
  <c r="L120" i="3" s="1"/>
  <c r="H87" i="3"/>
  <c r="J87" i="3"/>
  <c r="K87" i="3" s="1"/>
  <c r="L87" i="3" s="1"/>
  <c r="H95" i="3"/>
  <c r="J95" i="3"/>
  <c r="K95" i="3" s="1"/>
  <c r="L95" i="3" s="1"/>
  <c r="N95" i="3" s="1"/>
  <c r="H90" i="3"/>
  <c r="J90" i="3"/>
  <c r="K90" i="3" s="1"/>
  <c r="L90" i="3" s="1"/>
  <c r="N90" i="3" s="1"/>
  <c r="E114" i="3"/>
  <c r="J114" i="3"/>
  <c r="K114" i="3" s="1"/>
  <c r="L114" i="3" s="1"/>
  <c r="H82" i="3"/>
  <c r="J82" i="3"/>
  <c r="K82" i="3" s="1"/>
  <c r="L82" i="3" s="1"/>
  <c r="R85" i="3"/>
  <c r="J85" i="3"/>
  <c r="K85" i="3" s="1"/>
  <c r="L85" i="3" s="1"/>
  <c r="H109" i="3"/>
  <c r="J109" i="3"/>
  <c r="K109" i="3" s="1"/>
  <c r="L109" i="3" s="1"/>
  <c r="M104" i="3"/>
  <c r="J104" i="3"/>
  <c r="K104" i="3" s="1"/>
  <c r="L104" i="3" s="1"/>
  <c r="M111" i="3"/>
  <c r="J111" i="3"/>
  <c r="K111" i="3" s="1"/>
  <c r="L111" i="3" s="1"/>
  <c r="M119" i="3"/>
  <c r="J119" i="3"/>
  <c r="K119" i="3" s="1"/>
  <c r="L119" i="3" s="1"/>
  <c r="M86" i="3"/>
  <c r="J86" i="3"/>
  <c r="K86" i="3" s="1"/>
  <c r="L86" i="3" s="1"/>
  <c r="H97" i="3"/>
  <c r="J97" i="3"/>
  <c r="K97" i="3" s="1"/>
  <c r="L97" i="3" s="1"/>
  <c r="R105" i="3"/>
  <c r="J105" i="3"/>
  <c r="K105" i="3" s="1"/>
  <c r="L105" i="3" s="1"/>
  <c r="O92" i="3"/>
  <c r="P92" i="3" s="1"/>
  <c r="Q92" i="3" s="1"/>
  <c r="J92" i="3"/>
  <c r="K92" i="3" s="1"/>
  <c r="L92" i="3" s="1"/>
  <c r="E116" i="3"/>
  <c r="J116" i="3"/>
  <c r="K116" i="3" s="1"/>
  <c r="L116" i="3" s="1"/>
  <c r="N57" i="3"/>
  <c r="I47" i="3"/>
  <c r="M85" i="3"/>
  <c r="H85" i="3"/>
  <c r="C111" i="3"/>
  <c r="D111" i="3" s="1"/>
  <c r="M114" i="3"/>
  <c r="M109" i="3"/>
  <c r="R82" i="3"/>
  <c r="R90" i="3"/>
  <c r="E85" i="3"/>
  <c r="C97" i="3"/>
  <c r="D97" i="3" s="1"/>
  <c r="C114" i="3"/>
  <c r="D114" i="3" s="1"/>
  <c r="R109" i="3"/>
  <c r="C82" i="3"/>
  <c r="D82" i="3" s="1"/>
  <c r="C90" i="3"/>
  <c r="D90" i="3" s="1"/>
  <c r="C109" i="3"/>
  <c r="D109" i="3" s="1"/>
  <c r="O116" i="3"/>
  <c r="P116" i="3" s="1"/>
  <c r="Q116" i="3" s="1"/>
  <c r="S116" i="3" s="1"/>
  <c r="I55" i="3"/>
  <c r="I44" i="3"/>
  <c r="N67" i="3"/>
  <c r="M91" i="3"/>
  <c r="E106" i="3"/>
  <c r="E98" i="3"/>
  <c r="C108" i="3"/>
  <c r="D108" i="3" s="1"/>
  <c r="C94" i="3"/>
  <c r="D94" i="3" s="1"/>
  <c r="M94" i="3"/>
  <c r="C91" i="3"/>
  <c r="D91" i="3" s="1"/>
  <c r="R91" i="3"/>
  <c r="S55" i="3"/>
  <c r="H92" i="3"/>
  <c r="R119" i="3"/>
  <c r="I64" i="3"/>
  <c r="E113" i="3"/>
  <c r="E103" i="3"/>
  <c r="R103" i="3"/>
  <c r="C89" i="3"/>
  <c r="D89" i="3" s="1"/>
  <c r="R102" i="3"/>
  <c r="M102" i="3"/>
  <c r="H98" i="3"/>
  <c r="R120" i="3"/>
  <c r="M117" i="3"/>
  <c r="M118" i="3"/>
  <c r="M93" i="3"/>
  <c r="M115" i="3"/>
  <c r="C87" i="3"/>
  <c r="D87" i="3" s="1"/>
  <c r="I51" i="3"/>
  <c r="R106" i="3"/>
  <c r="I42" i="3"/>
  <c r="S42" i="3"/>
  <c r="N42" i="3"/>
  <c r="H116" i="3"/>
  <c r="H102" i="3"/>
  <c r="R117" i="3"/>
  <c r="C93" i="3"/>
  <c r="D93" i="3" s="1"/>
  <c r="H117" i="3"/>
  <c r="I117" i="3" s="1"/>
  <c r="M92" i="3"/>
  <c r="C119" i="3"/>
  <c r="D119" i="3" s="1"/>
  <c r="N46" i="3"/>
  <c r="M89" i="3"/>
  <c r="I52" i="3"/>
  <c r="C98" i="3"/>
  <c r="D98" i="3" s="1"/>
  <c r="I38" i="3"/>
  <c r="O112" i="3"/>
  <c r="P112" i="3" s="1"/>
  <c r="Q112" i="3" s="1"/>
  <c r="K112" i="3"/>
  <c r="L112" i="3" s="1"/>
  <c r="H112" i="3"/>
  <c r="K110" i="3"/>
  <c r="L110" i="3" s="1"/>
  <c r="N110" i="3" s="1"/>
  <c r="O110" i="3"/>
  <c r="P110" i="3" s="1"/>
  <c r="Q110" i="3" s="1"/>
  <c r="E112" i="3"/>
  <c r="M105" i="3"/>
  <c r="N66" i="3"/>
  <c r="E86" i="3"/>
  <c r="H111" i="3"/>
  <c r="M97" i="3"/>
  <c r="H104" i="3"/>
  <c r="E110" i="3"/>
  <c r="O103" i="3"/>
  <c r="P103" i="3" s="1"/>
  <c r="Q103" i="3" s="1"/>
  <c r="O84" i="3"/>
  <c r="P84" i="3" s="1"/>
  <c r="K84" i="3"/>
  <c r="L84" i="3" s="1"/>
  <c r="O91" i="3"/>
  <c r="P91" i="3" s="1"/>
  <c r="Q91" i="3" s="1"/>
  <c r="O98" i="3"/>
  <c r="P98" i="3" s="1"/>
  <c r="O102" i="3"/>
  <c r="P102" i="3" s="1"/>
  <c r="Q102" i="3" s="1"/>
  <c r="O106" i="3"/>
  <c r="P106" i="3" s="1"/>
  <c r="Q106" i="3" s="1"/>
  <c r="O93" i="3"/>
  <c r="P93" i="3" s="1"/>
  <c r="Q93" i="3" s="1"/>
  <c r="O117" i="3"/>
  <c r="P117" i="3" s="1"/>
  <c r="Q117" i="3" s="1"/>
  <c r="R112" i="3"/>
  <c r="I67" i="3"/>
  <c r="E105" i="3"/>
  <c r="E111" i="3"/>
  <c r="C104" i="3"/>
  <c r="D104" i="3" s="1"/>
  <c r="R110" i="3"/>
  <c r="H106" i="3"/>
  <c r="O108" i="3"/>
  <c r="P108" i="3" s="1"/>
  <c r="Q108" i="3" s="1"/>
  <c r="S108" i="3" s="1"/>
  <c r="O115" i="3"/>
  <c r="P115" i="3" s="1"/>
  <c r="Q115" i="3" s="1"/>
  <c r="H115" i="3"/>
  <c r="O94" i="3"/>
  <c r="P94" i="3" s="1"/>
  <c r="Q94" i="3" s="1"/>
  <c r="O118" i="3"/>
  <c r="P118" i="3" s="1"/>
  <c r="Q118" i="3" s="1"/>
  <c r="S118" i="3" s="1"/>
  <c r="H118" i="3"/>
  <c r="O89" i="3"/>
  <c r="P89" i="3" s="1"/>
  <c r="Q89" i="3" s="1"/>
  <c r="S89" i="3" s="1"/>
  <c r="O113" i="3"/>
  <c r="P113" i="3" s="1"/>
  <c r="Q113" i="3" s="1"/>
  <c r="H113" i="3"/>
  <c r="O119" i="3"/>
  <c r="P119" i="3" s="1"/>
  <c r="Q119" i="3" s="1"/>
  <c r="H119" i="3"/>
  <c r="O100" i="3"/>
  <c r="P100" i="3" s="1"/>
  <c r="K100" i="3"/>
  <c r="L100" i="3" s="1"/>
  <c r="O86" i="3"/>
  <c r="P86" i="3" s="1"/>
  <c r="O97" i="3"/>
  <c r="P97" i="3" s="1"/>
  <c r="Q97" i="3" s="1"/>
  <c r="S97" i="3" s="1"/>
  <c r="O105" i="3"/>
  <c r="P105" i="3" s="1"/>
  <c r="Q105" i="3" s="1"/>
  <c r="O104" i="3"/>
  <c r="P104" i="3" s="1"/>
  <c r="Q104" i="3" s="1"/>
  <c r="O111" i="3"/>
  <c r="P111" i="3" s="1"/>
  <c r="Q111" i="3" s="1"/>
  <c r="N81" i="3"/>
  <c r="M112" i="3"/>
  <c r="C112" i="3"/>
  <c r="D112" i="3" s="1"/>
  <c r="C105" i="3"/>
  <c r="D105" i="3" s="1"/>
  <c r="H105" i="3"/>
  <c r="C86" i="3"/>
  <c r="D86" i="3" s="1"/>
  <c r="R111" i="3"/>
  <c r="E97" i="3"/>
  <c r="R104" i="3"/>
  <c r="E119" i="3"/>
  <c r="C110" i="3"/>
  <c r="D110" i="3" s="1"/>
  <c r="H110" i="3"/>
  <c r="O88" i="3"/>
  <c r="P88" i="3" s="1"/>
  <c r="O95" i="3"/>
  <c r="P95" i="3" s="1"/>
  <c r="Q95" i="3" s="1"/>
  <c r="O90" i="3"/>
  <c r="P90" i="3" s="1"/>
  <c r="Q90" i="3" s="1"/>
  <c r="O114" i="3"/>
  <c r="P114" i="3" s="1"/>
  <c r="Q114" i="3" s="1"/>
  <c r="S114" i="3" s="1"/>
  <c r="H114" i="3"/>
  <c r="O82" i="3"/>
  <c r="P82" i="3" s="1"/>
  <c r="O85" i="3"/>
  <c r="P85" i="3" s="1"/>
  <c r="Q85" i="3" s="1"/>
  <c r="O109" i="3"/>
  <c r="P109" i="3" s="1"/>
  <c r="Q109" i="3" s="1"/>
  <c r="O120" i="3"/>
  <c r="P120" i="3" s="1"/>
  <c r="Q120" i="3" s="1"/>
  <c r="O87" i="3"/>
  <c r="P87" i="3" s="1"/>
  <c r="Q87" i="3" s="1"/>
  <c r="S87" i="3" s="1"/>
  <c r="N55" i="3"/>
  <c r="I58" i="3"/>
  <c r="I60" i="3"/>
  <c r="I50" i="3"/>
  <c r="I46" i="3"/>
  <c r="Q107" i="3"/>
  <c r="N50" i="3"/>
  <c r="Q50" i="3"/>
  <c r="S50" i="3" s="1"/>
  <c r="Q52" i="3"/>
  <c r="S52" i="3" s="1"/>
  <c r="N52" i="3"/>
  <c r="N54" i="3"/>
  <c r="Q54" i="3"/>
  <c r="S54" i="3" s="1"/>
  <c r="C88" i="3"/>
  <c r="D88" i="3" s="1"/>
  <c r="K88" i="3"/>
  <c r="L88" i="3" s="1"/>
  <c r="R88" i="3"/>
  <c r="M88" i="3"/>
  <c r="E88" i="3"/>
  <c r="H88" i="3"/>
  <c r="I39" i="3"/>
  <c r="N47" i="3"/>
  <c r="Q47" i="3"/>
  <c r="S47" i="3" s="1"/>
  <c r="R100" i="3"/>
  <c r="M100" i="3"/>
  <c r="E100" i="3"/>
  <c r="C100" i="3"/>
  <c r="D100" i="3" s="1"/>
  <c r="H100" i="3"/>
  <c r="N48" i="3"/>
  <c r="Q48" i="3"/>
  <c r="S48" i="3" s="1"/>
  <c r="I54" i="3"/>
  <c r="N39" i="3"/>
  <c r="Q39" i="3"/>
  <c r="S39" i="3" s="1"/>
  <c r="I63" i="3"/>
  <c r="S62" i="3"/>
  <c r="Q51" i="3"/>
  <c r="S51" i="3" s="1"/>
  <c r="N51" i="3"/>
  <c r="Q81" i="3"/>
  <c r="S81" i="3" s="1"/>
  <c r="I48" i="3"/>
  <c r="S63" i="3"/>
  <c r="C84" i="3"/>
  <c r="D84" i="3" s="1"/>
  <c r="R84" i="3"/>
  <c r="M84" i="3"/>
  <c r="E84" i="3"/>
  <c r="H84" i="3"/>
  <c r="S67" i="3"/>
  <c r="N43" i="3"/>
  <c r="Q43" i="3"/>
  <c r="S43" i="3" s="1"/>
  <c r="I43" i="3"/>
  <c r="Q46" i="3"/>
  <c r="S46" i="3" s="1"/>
  <c r="N59" i="3"/>
  <c r="U59" i="3" s="1"/>
  <c r="X59" i="3" s="1"/>
  <c r="S64" i="3"/>
  <c r="S60" i="3"/>
  <c r="N62" i="3"/>
  <c r="I62" i="3"/>
  <c r="H32" i="4"/>
  <c r="H85" i="4"/>
  <c r="H70" i="4"/>
  <c r="H71" i="4" s="1"/>
  <c r="H72" i="4" s="1"/>
  <c r="H73" i="4" s="1"/>
  <c r="F22" i="1"/>
  <c r="G22" i="1" s="1"/>
  <c r="G40" i="1" s="1"/>
  <c r="W42" i="13" l="1" a="1"/>
  <c r="W42" i="13" s="1"/>
  <c r="AE40" i="13"/>
  <c r="AE41" i="13" s="1"/>
  <c r="V42" i="13"/>
  <c r="AU39" i="10"/>
  <c r="AU40" i="10" s="1"/>
  <c r="AU38" i="10"/>
  <c r="AU37" i="10" s="1"/>
  <c r="AP39" i="10"/>
  <c r="AP40" i="10" s="1"/>
  <c r="AP38" i="10"/>
  <c r="AP37" i="10" s="1"/>
  <c r="AE39" i="13"/>
  <c r="AE38" i="13" s="1"/>
  <c r="V41" i="13"/>
  <c r="W41" i="13" a="1"/>
  <c r="W41" i="13" s="1"/>
  <c r="W39" i="13" a="1"/>
  <c r="W39" i="13" s="1"/>
  <c r="AA39" i="13"/>
  <c r="AA38" i="13" s="1"/>
  <c r="V39" i="13"/>
  <c r="AA40" i="13"/>
  <c r="AA41" i="13" s="1"/>
  <c r="W40" i="13" a="1"/>
  <c r="W40" i="13" s="1"/>
  <c r="V40" i="13"/>
  <c r="Q24" i="11"/>
  <c r="R24" i="11" a="1"/>
  <c r="R24" i="11" s="1"/>
  <c r="Q26" i="11"/>
  <c r="R26" i="11" a="1"/>
  <c r="R26" i="11" s="1"/>
  <c r="Q23" i="11"/>
  <c r="R23" i="11" a="1"/>
  <c r="R23" i="11" s="1"/>
  <c r="Q25" i="11"/>
  <c r="R25" i="11" a="1"/>
  <c r="R25" i="11" s="1"/>
  <c r="I89" i="3"/>
  <c r="I94" i="3"/>
  <c r="U49" i="3"/>
  <c r="X49" i="3" s="1"/>
  <c r="I108" i="3"/>
  <c r="U108" i="3" s="1"/>
  <c r="X108" i="3" s="1"/>
  <c r="U62" i="3"/>
  <c r="X62" i="3" s="1"/>
  <c r="T60" i="3"/>
  <c r="W60" i="3" s="1"/>
  <c r="U48" i="3"/>
  <c r="X48" i="3" s="1"/>
  <c r="U54" i="3"/>
  <c r="X54" i="3" s="1"/>
  <c r="U58" i="3"/>
  <c r="X58" i="3" s="1"/>
  <c r="T64" i="3"/>
  <c r="W64" i="3" s="1"/>
  <c r="U53" i="3"/>
  <c r="X53" i="3" s="1"/>
  <c r="S83" i="3"/>
  <c r="U37" i="3"/>
  <c r="X37" i="3" s="1"/>
  <c r="U63" i="3"/>
  <c r="X63" i="3" s="1"/>
  <c r="U44" i="3"/>
  <c r="S95" i="3"/>
  <c r="U38" i="3"/>
  <c r="X38" i="3" s="1"/>
  <c r="U41" i="3"/>
  <c r="X41" i="3" s="1"/>
  <c r="U57" i="3"/>
  <c r="X57" i="3" s="1"/>
  <c r="U67" i="3"/>
  <c r="X67" i="3" s="1"/>
  <c r="T59" i="3"/>
  <c r="W59" i="3" s="1"/>
  <c r="U60" i="3"/>
  <c r="X60" i="3" s="1"/>
  <c r="U46" i="3"/>
  <c r="X46" i="3" s="1"/>
  <c r="T49" i="3"/>
  <c r="W49" i="3" s="1"/>
  <c r="T52" i="3"/>
  <c r="W52" i="3" s="1"/>
  <c r="U42" i="3"/>
  <c r="X42" i="3" s="1"/>
  <c r="U43" i="3"/>
  <c r="X43" i="3" s="1"/>
  <c r="U51" i="3"/>
  <c r="X51" i="3" s="1"/>
  <c r="T48" i="3"/>
  <c r="W48" i="3" s="1"/>
  <c r="U50" i="3"/>
  <c r="X50" i="3" s="1"/>
  <c r="X44" i="3"/>
  <c r="U36" i="3"/>
  <c r="X36" i="3" s="1"/>
  <c r="T81" i="3"/>
  <c r="W81" i="3" s="1"/>
  <c r="U39" i="3"/>
  <c r="X39" i="3" s="1"/>
  <c r="T51" i="3"/>
  <c r="W51" i="3" s="1"/>
  <c r="I92" i="3"/>
  <c r="U55" i="3"/>
  <c r="X55" i="3" s="1"/>
  <c r="T47" i="3"/>
  <c r="W47" i="3" s="1"/>
  <c r="I109" i="3"/>
  <c r="T44" i="3"/>
  <c r="W44" i="3" s="1"/>
  <c r="I120" i="3"/>
  <c r="U66" i="3"/>
  <c r="X66" i="3" s="1"/>
  <c r="F97" i="3"/>
  <c r="G97" i="3" s="1"/>
  <c r="I97" i="3" s="1"/>
  <c r="V97" i="3"/>
  <c r="F113" i="3"/>
  <c r="G113" i="3" s="1"/>
  <c r="I113" i="3" s="1"/>
  <c r="V113" i="3"/>
  <c r="F100" i="3"/>
  <c r="G100" i="3" s="1"/>
  <c r="I100" i="3" s="1"/>
  <c r="V100" i="3"/>
  <c r="F85" i="3"/>
  <c r="G85" i="3" s="1"/>
  <c r="V85" i="3"/>
  <c r="F83" i="3"/>
  <c r="G83" i="3" s="1"/>
  <c r="I83" i="3" s="1"/>
  <c r="V83" i="3"/>
  <c r="U47" i="3"/>
  <c r="X47" i="3" s="1"/>
  <c r="U52" i="3"/>
  <c r="X52" i="3" s="1"/>
  <c r="U64" i="3"/>
  <c r="X64" i="3" s="1"/>
  <c r="T50" i="3"/>
  <c r="W50" i="3" s="1"/>
  <c r="T41" i="3"/>
  <c r="W41" i="3" s="1"/>
  <c r="F119" i="3"/>
  <c r="G119" i="3" s="1"/>
  <c r="I119" i="3" s="1"/>
  <c r="V119" i="3"/>
  <c r="I118" i="3"/>
  <c r="I104" i="3"/>
  <c r="F86" i="3"/>
  <c r="G86" i="3" s="1"/>
  <c r="I86" i="3" s="1"/>
  <c r="V86" i="3"/>
  <c r="F112" i="3"/>
  <c r="G112" i="3" s="1"/>
  <c r="I112" i="3" s="1"/>
  <c r="V112" i="3"/>
  <c r="F98" i="3"/>
  <c r="G98" i="3" s="1"/>
  <c r="I98" i="3" s="1"/>
  <c r="V98" i="3"/>
  <c r="F93" i="3"/>
  <c r="G93" i="3" s="1"/>
  <c r="I93" i="3" s="1"/>
  <c r="V93" i="3"/>
  <c r="T45" i="3"/>
  <c r="W45" i="3" s="1"/>
  <c r="U45" i="3"/>
  <c r="X45" i="3" s="1"/>
  <c r="U40" i="3"/>
  <c r="X40" i="3" s="1"/>
  <c r="T40" i="3"/>
  <c r="W40" i="3" s="1"/>
  <c r="F82" i="3"/>
  <c r="G82" i="3" s="1"/>
  <c r="I82" i="3" s="1"/>
  <c r="V82" i="3"/>
  <c r="T54" i="3"/>
  <c r="W54" i="3" s="1"/>
  <c r="T39" i="3"/>
  <c r="W39" i="3" s="1"/>
  <c r="T58" i="3"/>
  <c r="W58" i="3" s="1"/>
  <c r="T57" i="3"/>
  <c r="W57" i="3" s="1"/>
  <c r="T36" i="3"/>
  <c r="W36" i="3" s="1"/>
  <c r="T37" i="3"/>
  <c r="W37" i="3" s="1"/>
  <c r="T46" i="3"/>
  <c r="W46" i="3" s="1"/>
  <c r="T42" i="3"/>
  <c r="W42" i="3" s="1"/>
  <c r="T53" i="3"/>
  <c r="W53" i="3" s="1"/>
  <c r="T66" i="3"/>
  <c r="W66" i="3" s="1"/>
  <c r="T62" i="3"/>
  <c r="W62" i="3" s="1"/>
  <c r="F88" i="3"/>
  <c r="G88" i="3" s="1"/>
  <c r="I88" i="3" s="1"/>
  <c r="V88" i="3"/>
  <c r="F105" i="3"/>
  <c r="G105" i="3" s="1"/>
  <c r="I105" i="3" s="1"/>
  <c r="V105" i="3"/>
  <c r="F110" i="3"/>
  <c r="G110" i="3" s="1"/>
  <c r="I110" i="3" s="1"/>
  <c r="V110" i="3"/>
  <c r="F116" i="3"/>
  <c r="G116" i="3" s="1"/>
  <c r="I116" i="3" s="1"/>
  <c r="V116" i="3"/>
  <c r="F115" i="3"/>
  <c r="G115" i="3" s="1"/>
  <c r="I115" i="3" s="1"/>
  <c r="V115" i="3"/>
  <c r="F96" i="3"/>
  <c r="G96" i="3" s="1"/>
  <c r="I96" i="3" s="1"/>
  <c r="V96" i="3"/>
  <c r="F90" i="3"/>
  <c r="G90" i="3" s="1"/>
  <c r="V90" i="3"/>
  <c r="F84" i="3"/>
  <c r="G84" i="3" s="1"/>
  <c r="I84" i="3" s="1"/>
  <c r="V84" i="3"/>
  <c r="F111" i="3"/>
  <c r="G111" i="3" s="1"/>
  <c r="I111" i="3" s="1"/>
  <c r="V111" i="3"/>
  <c r="F103" i="3"/>
  <c r="G103" i="3" s="1"/>
  <c r="I103" i="3" s="1"/>
  <c r="V103" i="3"/>
  <c r="F106" i="3"/>
  <c r="G106" i="3" s="1"/>
  <c r="I106" i="3" s="1"/>
  <c r="V106" i="3"/>
  <c r="F114" i="3"/>
  <c r="G114" i="3" s="1"/>
  <c r="I114" i="3" s="1"/>
  <c r="V114" i="3"/>
  <c r="F102" i="3"/>
  <c r="G102" i="3" s="1"/>
  <c r="I102" i="3" s="1"/>
  <c r="V102" i="3"/>
  <c r="F91" i="3"/>
  <c r="G91" i="3" s="1"/>
  <c r="I91" i="3" s="1"/>
  <c r="V91" i="3"/>
  <c r="F107" i="3"/>
  <c r="G107" i="3" s="1"/>
  <c r="I107" i="3" s="1"/>
  <c r="V107" i="3"/>
  <c r="F99" i="3"/>
  <c r="G99" i="3" s="1"/>
  <c r="I99" i="3" s="1"/>
  <c r="V99" i="3"/>
  <c r="F95" i="3"/>
  <c r="G95" i="3" s="1"/>
  <c r="I95" i="3" s="1"/>
  <c r="V95" i="3"/>
  <c r="F87" i="3"/>
  <c r="G87" i="3" s="1"/>
  <c r="I87" i="3" s="1"/>
  <c r="V87" i="3"/>
  <c r="T67" i="3"/>
  <c r="W67" i="3" s="1"/>
  <c r="T63" i="3"/>
  <c r="W63" i="3" s="1"/>
  <c r="T43" i="3"/>
  <c r="W43" i="3" s="1"/>
  <c r="T38" i="3"/>
  <c r="W38" i="3" s="1"/>
  <c r="T55" i="3"/>
  <c r="W55" i="3" s="1"/>
  <c r="S91" i="3"/>
  <c r="N87" i="3"/>
  <c r="S99" i="3"/>
  <c r="S96" i="3"/>
  <c r="N116" i="3"/>
  <c r="N111" i="3"/>
  <c r="I90" i="3"/>
  <c r="S107" i="3"/>
  <c r="N106" i="3"/>
  <c r="N104" i="3"/>
  <c r="N120" i="3"/>
  <c r="N109" i="3"/>
  <c r="N103" i="3"/>
  <c r="S115" i="3"/>
  <c r="S113" i="3"/>
  <c r="N94" i="3"/>
  <c r="N102" i="3"/>
  <c r="S120" i="3"/>
  <c r="S92" i="3"/>
  <c r="S105" i="3"/>
  <c r="S103" i="3"/>
  <c r="S104" i="3"/>
  <c r="N105" i="3"/>
  <c r="N115" i="3"/>
  <c r="S102" i="3"/>
  <c r="N85" i="3"/>
  <c r="I85" i="3"/>
  <c r="S85" i="3"/>
  <c r="S93" i="3"/>
  <c r="N119" i="3"/>
  <c r="S94" i="3"/>
  <c r="N117" i="3"/>
  <c r="S109" i="3"/>
  <c r="N97" i="3"/>
  <c r="S119" i="3"/>
  <c r="S117" i="3"/>
  <c r="S110" i="3"/>
  <c r="S112" i="3"/>
  <c r="N114" i="3"/>
  <c r="S106" i="3"/>
  <c r="S90" i="3"/>
  <c r="N89" i="3"/>
  <c r="T89" i="3" s="1"/>
  <c r="W89" i="3" s="1"/>
  <c r="N118" i="3"/>
  <c r="N93" i="3"/>
  <c r="N91" i="3"/>
  <c r="N92" i="3"/>
  <c r="S111" i="3"/>
  <c r="Q100" i="3"/>
  <c r="S100" i="3" s="1"/>
  <c r="N100" i="3"/>
  <c r="Q84" i="3"/>
  <c r="S84" i="3" s="1"/>
  <c r="N84" i="3"/>
  <c r="Q82" i="3"/>
  <c r="S82" i="3" s="1"/>
  <c r="N82" i="3"/>
  <c r="Q98" i="3"/>
  <c r="S98" i="3" s="1"/>
  <c r="N98" i="3"/>
  <c r="N88" i="3"/>
  <c r="Q86" i="3"/>
  <c r="S86" i="3" s="1"/>
  <c r="N86" i="3"/>
  <c r="N112" i="3"/>
  <c r="U81" i="3"/>
  <c r="X81" i="3" s="1"/>
  <c r="Q88" i="3"/>
  <c r="S88" i="3" s="1"/>
  <c r="H91" i="4"/>
  <c r="H95" i="4" s="1"/>
  <c r="T99" i="3" l="1"/>
  <c r="T108" i="3"/>
  <c r="W108" i="3" s="1"/>
  <c r="U95" i="3"/>
  <c r="X95" i="3" s="1"/>
  <c r="T107" i="3"/>
  <c r="W107" i="3" s="1"/>
  <c r="T110" i="3"/>
  <c r="W110" i="3" s="1"/>
  <c r="T88" i="3"/>
  <c r="W88" i="3" s="1"/>
  <c r="U83" i="3"/>
  <c r="X83" i="3" s="1"/>
  <c r="T83" i="3"/>
  <c r="W83" i="3" s="1"/>
  <c r="U91" i="3"/>
  <c r="X91" i="3" s="1"/>
  <c r="U104" i="3"/>
  <c r="X104" i="3" s="1"/>
  <c r="T96" i="3"/>
  <c r="W96" i="3" s="1"/>
  <c r="U92" i="3"/>
  <c r="X92" i="3" s="1"/>
  <c r="U117" i="3"/>
  <c r="X117" i="3" s="1"/>
  <c r="U112" i="3"/>
  <c r="X112" i="3" s="1"/>
  <c r="T82" i="3"/>
  <c r="W82" i="3" s="1"/>
  <c r="T93" i="3"/>
  <c r="W93" i="3" s="1"/>
  <c r="U87" i="3"/>
  <c r="X87" i="3" s="1"/>
  <c r="T111" i="3"/>
  <c r="W111" i="3" s="1"/>
  <c r="U114" i="3"/>
  <c r="X114" i="3" s="1"/>
  <c r="U97" i="3"/>
  <c r="X97" i="3" s="1"/>
  <c r="T118" i="3"/>
  <c r="W118" i="3" s="1"/>
  <c r="U98" i="3"/>
  <c r="X98" i="3" s="1"/>
  <c r="U93" i="3"/>
  <c r="X93" i="3" s="1"/>
  <c r="T109" i="3"/>
  <c r="W109" i="3" s="1"/>
  <c r="T91" i="3"/>
  <c r="W91" i="3" s="1"/>
  <c r="U96" i="3"/>
  <c r="X96" i="3" s="1"/>
  <c r="T112" i="3"/>
  <c r="W112" i="3" s="1"/>
  <c r="T94" i="3"/>
  <c r="W94" i="3" s="1"/>
  <c r="T90" i="3"/>
  <c r="W90" i="3" s="1"/>
  <c r="T100" i="3"/>
  <c r="W100" i="3" s="1"/>
  <c r="T114" i="3"/>
  <c r="W114" i="3" s="1"/>
  <c r="T105" i="3"/>
  <c r="W105" i="3" s="1"/>
  <c r="U120" i="3"/>
  <c r="X120" i="3" s="1"/>
  <c r="U99" i="3"/>
  <c r="X99" i="3" s="1"/>
  <c r="T103" i="3"/>
  <c r="W103" i="3" s="1"/>
  <c r="T86" i="3"/>
  <c r="W86" i="3" s="1"/>
  <c r="T117" i="3"/>
  <c r="W117" i="3" s="1"/>
  <c r="T98" i="3"/>
  <c r="W98" i="3" s="1"/>
  <c r="U103" i="3"/>
  <c r="X103" i="3" s="1"/>
  <c r="U94" i="3"/>
  <c r="X94" i="3" s="1"/>
  <c r="T104" i="3"/>
  <c r="W104" i="3" s="1"/>
  <c r="T106" i="3"/>
  <c r="W106" i="3" s="1"/>
  <c r="U106" i="3"/>
  <c r="X106" i="3" s="1"/>
  <c r="U113" i="3"/>
  <c r="X113" i="3" s="1"/>
  <c r="T113" i="3"/>
  <c r="W113" i="3" s="1"/>
  <c r="U119" i="3"/>
  <c r="X119" i="3" s="1"/>
  <c r="T119" i="3"/>
  <c r="W119" i="3" s="1"/>
  <c r="T84" i="3"/>
  <c r="W84" i="3" s="1"/>
  <c r="U84" i="3"/>
  <c r="X84" i="3" s="1"/>
  <c r="W99" i="3"/>
  <c r="U107" i="3"/>
  <c r="X107" i="3" s="1"/>
  <c r="U88" i="3"/>
  <c r="X88" i="3" s="1"/>
  <c r="T102" i="3"/>
  <c r="W102" i="3" s="1"/>
  <c r="U102" i="3"/>
  <c r="X102" i="3" s="1"/>
  <c r="U109" i="3"/>
  <c r="X109" i="3" s="1"/>
  <c r="U86" i="3"/>
  <c r="X86" i="3" s="1"/>
  <c r="T92" i="3"/>
  <c r="W92" i="3" s="1"/>
  <c r="U100" i="3"/>
  <c r="X100" i="3" s="1"/>
  <c r="T95" i="3"/>
  <c r="W95" i="3" s="1"/>
  <c r="U105" i="3"/>
  <c r="X105" i="3" s="1"/>
  <c r="T97" i="3"/>
  <c r="W97" i="3" s="1"/>
  <c r="T115" i="3"/>
  <c r="W115" i="3" s="1"/>
  <c r="U115" i="3"/>
  <c r="X115" i="3" s="1"/>
  <c r="T85" i="3"/>
  <c r="W85" i="3" s="1"/>
  <c r="U85" i="3"/>
  <c r="X85" i="3" s="1"/>
  <c r="T120" i="3"/>
  <c r="W120" i="3" s="1"/>
  <c r="U82" i="3"/>
  <c r="X82" i="3" s="1"/>
  <c r="U89" i="3"/>
  <c r="X89" i="3" s="1"/>
  <c r="U110" i="3"/>
  <c r="X110" i="3" s="1"/>
  <c r="U90" i="3"/>
  <c r="X90" i="3" s="1"/>
  <c r="T87" i="3"/>
  <c r="W87" i="3" s="1"/>
  <c r="U118" i="3"/>
  <c r="X118" i="3" s="1"/>
  <c r="U116" i="3"/>
  <c r="X116" i="3" s="1"/>
  <c r="T116" i="3"/>
  <c r="W116" i="3" s="1"/>
  <c r="U111" i="3"/>
  <c r="X111" i="3" s="1"/>
  <c r="J60" i="7"/>
  <c r="J59" i="7"/>
  <c r="J57" i="7"/>
  <c r="E60" i="7"/>
  <c r="F60" i="7" s="1"/>
  <c r="G60" i="7" s="1"/>
  <c r="E59" i="7"/>
  <c r="F59" i="7" s="1"/>
  <c r="G59" i="7" s="1"/>
  <c r="J63" i="7"/>
  <c r="E58" i="7"/>
  <c r="F58" i="7" s="1"/>
  <c r="G58" i="7" s="1"/>
  <c r="E64" i="7"/>
  <c r="F64" i="7" s="1"/>
  <c r="G64" i="7" s="1"/>
  <c r="E57" i="7"/>
  <c r="F57" i="7" s="1"/>
  <c r="G57" i="7" s="1"/>
  <c r="J62" i="7"/>
  <c r="E61" i="7"/>
  <c r="F61" i="7" s="1"/>
  <c r="G61" i="7" s="1"/>
  <c r="E65" i="7"/>
  <c r="F65" i="7" s="1"/>
  <c r="G65" i="7" s="1"/>
  <c r="J61" i="7"/>
  <c r="J65" i="7"/>
  <c r="E63" i="7"/>
  <c r="F63" i="7" s="1"/>
  <c r="G63" i="7" s="1"/>
  <c r="J58" i="7"/>
  <c r="M58" i="7"/>
  <c r="H58" i="7"/>
  <c r="E62" i="7"/>
  <c r="F62" i="7" s="1"/>
  <c r="G62" i="7" s="1"/>
  <c r="M62" i="7"/>
  <c r="H62" i="7"/>
  <c r="H63" i="7"/>
  <c r="M63" i="7"/>
  <c r="H59" i="7"/>
  <c r="M59" i="7"/>
  <c r="M57" i="7"/>
  <c r="H57" i="7"/>
  <c r="M65" i="7"/>
  <c r="H65" i="7"/>
  <c r="H60" i="7"/>
  <c r="M60" i="7"/>
  <c r="M64" i="7"/>
  <c r="J64" i="7"/>
  <c r="H64" i="7"/>
  <c r="H61" i="7"/>
  <c r="M61" i="7"/>
  <c r="M55" i="7"/>
  <c r="J55" i="7"/>
  <c r="E55" i="7"/>
  <c r="F55" i="7" s="1"/>
  <c r="G55" i="7" s="1"/>
  <c r="H55" i="7"/>
  <c r="E42" i="7"/>
  <c r="F42" i="7" s="1"/>
  <c r="G42" i="7" s="1"/>
  <c r="J44" i="7"/>
  <c r="E45" i="7"/>
  <c r="F45" i="7" s="1"/>
  <c r="G45" i="7" s="1"/>
  <c r="J56" i="7"/>
  <c r="E46" i="7"/>
  <c r="F46" i="7" s="1"/>
  <c r="G46" i="7" s="1"/>
  <c r="E48" i="7"/>
  <c r="F48" i="7" s="1"/>
  <c r="G48" i="7" s="1"/>
  <c r="E49" i="7"/>
  <c r="F49" i="7" s="1"/>
  <c r="G49" i="7" s="1"/>
  <c r="E56" i="7"/>
  <c r="F56" i="7" s="1"/>
  <c r="G56" i="7" s="1"/>
  <c r="E44" i="7"/>
  <c r="F44" i="7" s="1"/>
  <c r="G44" i="7" s="1"/>
  <c r="J50" i="7"/>
  <c r="H50" i="7"/>
  <c r="M50" i="7"/>
  <c r="E50" i="7"/>
  <c r="F50" i="7" s="1"/>
  <c r="G50" i="7" s="1"/>
  <c r="M46" i="7"/>
  <c r="J46" i="7"/>
  <c r="H46" i="7"/>
  <c r="E54" i="7"/>
  <c r="F54" i="7" s="1"/>
  <c r="G54" i="7" s="1"/>
  <c r="H54" i="7"/>
  <c r="J54" i="7"/>
  <c r="M54" i="7"/>
  <c r="H38" i="7"/>
  <c r="M38" i="7"/>
  <c r="J38" i="7"/>
  <c r="E38" i="7"/>
  <c r="F38" i="7" s="1"/>
  <c r="G38" i="7" s="1"/>
  <c r="E47" i="7"/>
  <c r="F47" i="7" s="1"/>
  <c r="G47" i="7" s="1"/>
  <c r="B36" i="7"/>
  <c r="M36" i="7" s="1"/>
  <c r="J40" i="7"/>
  <c r="E51" i="7"/>
  <c r="F51" i="7" s="1"/>
  <c r="G51" i="7" s="1"/>
  <c r="E39" i="7"/>
  <c r="F39" i="7" s="1"/>
  <c r="G39" i="7" s="1"/>
  <c r="J42" i="7"/>
  <c r="M42" i="7"/>
  <c r="H42" i="7"/>
  <c r="H52" i="7"/>
  <c r="J52" i="7"/>
  <c r="E52" i="7"/>
  <c r="F52" i="7" s="1"/>
  <c r="G52" i="7" s="1"/>
  <c r="M52" i="7"/>
  <c r="H48" i="7"/>
  <c r="J48" i="7"/>
  <c r="M48" i="7"/>
  <c r="H44" i="7"/>
  <c r="M44" i="7"/>
  <c r="E40" i="7"/>
  <c r="F40" i="7" s="1"/>
  <c r="G40" i="7" s="1"/>
  <c r="M40" i="7"/>
  <c r="H40" i="7"/>
  <c r="E37" i="7"/>
  <c r="F37" i="7" s="1"/>
  <c r="G37" i="7" s="1"/>
  <c r="H37" i="7"/>
  <c r="J37" i="7"/>
  <c r="M37" i="7"/>
  <c r="C64" i="7"/>
  <c r="D64" i="7" s="1"/>
  <c r="C56" i="7"/>
  <c r="D56" i="7" s="1"/>
  <c r="C40" i="7"/>
  <c r="D40" i="7" s="1"/>
  <c r="C60" i="7"/>
  <c r="D60" i="7" s="1"/>
  <c r="C48" i="7"/>
  <c r="D48" i="7" s="1"/>
  <c r="J43" i="7"/>
  <c r="E43" i="7"/>
  <c r="F43" i="7" s="1"/>
  <c r="G43" i="7" s="1"/>
  <c r="H43" i="7"/>
  <c r="M43" i="7"/>
  <c r="E66" i="7"/>
  <c r="F66" i="7" s="1"/>
  <c r="G66" i="7" s="1"/>
  <c r="H66" i="7"/>
  <c r="J66" i="7"/>
  <c r="M66" i="7"/>
  <c r="C63" i="7"/>
  <c r="D63" i="7" s="1"/>
  <c r="C59" i="7"/>
  <c r="D59" i="7" s="1"/>
  <c r="C55" i="7"/>
  <c r="D55" i="7" s="1"/>
  <c r="C51" i="7"/>
  <c r="D51" i="7" s="1"/>
  <c r="C47" i="7"/>
  <c r="D47" i="7" s="1"/>
  <c r="C43" i="7"/>
  <c r="D43" i="7" s="1"/>
  <c r="C39" i="7"/>
  <c r="D39" i="7" s="1"/>
  <c r="H51" i="7"/>
  <c r="J51" i="7"/>
  <c r="M51" i="7"/>
  <c r="C52" i="7"/>
  <c r="D52" i="7" s="1"/>
  <c r="C44" i="7"/>
  <c r="D44" i="7" s="1"/>
  <c r="H39" i="7"/>
  <c r="J39" i="7"/>
  <c r="M39" i="7"/>
  <c r="J41" i="7"/>
  <c r="E41" i="7"/>
  <c r="F41" i="7" s="1"/>
  <c r="G41" i="7" s="1"/>
  <c r="H41" i="7"/>
  <c r="M41" i="7"/>
  <c r="H45" i="7"/>
  <c r="J45" i="7"/>
  <c r="M45" i="7"/>
  <c r="H47" i="7"/>
  <c r="J47" i="7"/>
  <c r="M47" i="7"/>
  <c r="J49" i="7"/>
  <c r="H49" i="7"/>
  <c r="M49" i="7"/>
  <c r="E53" i="7"/>
  <c r="F53" i="7" s="1"/>
  <c r="G53" i="7" s="1"/>
  <c r="H53" i="7"/>
  <c r="J53" i="7"/>
  <c r="M53" i="7"/>
  <c r="C66" i="7"/>
  <c r="D66" i="7" s="1"/>
  <c r="C62" i="7"/>
  <c r="D62" i="7" s="1"/>
  <c r="C58" i="7"/>
  <c r="D58" i="7" s="1"/>
  <c r="C54" i="7"/>
  <c r="D54" i="7" s="1"/>
  <c r="C50" i="7"/>
  <c r="D50" i="7" s="1"/>
  <c r="C46" i="7"/>
  <c r="D46" i="7" s="1"/>
  <c r="C42" i="7"/>
  <c r="D42" i="7" s="1"/>
  <c r="C38" i="7"/>
  <c r="D38" i="7" s="1"/>
  <c r="C65" i="7"/>
  <c r="D65" i="7" s="1"/>
  <c r="C61" i="7"/>
  <c r="D61" i="7" s="1"/>
  <c r="C57" i="7"/>
  <c r="D57" i="7" s="1"/>
  <c r="C53" i="7"/>
  <c r="D53" i="7" s="1"/>
  <c r="C49" i="7"/>
  <c r="D49" i="7" s="1"/>
  <c r="C45" i="7"/>
  <c r="D45" i="7" s="1"/>
  <c r="C41" i="7"/>
  <c r="D41" i="7" s="1"/>
  <c r="C37" i="7"/>
  <c r="D37" i="7" s="1"/>
  <c r="M56" i="7"/>
  <c r="H56" i="7"/>
  <c r="K49" i="7" l="1"/>
  <c r="L49" i="7" s="1"/>
  <c r="N49" i="7" s="1"/>
  <c r="V49" i="7"/>
  <c r="K39" i="7"/>
  <c r="L39" i="7" s="1"/>
  <c r="N39" i="7" s="1"/>
  <c r="V39" i="7"/>
  <c r="K54" i="7"/>
  <c r="L54" i="7" s="1"/>
  <c r="V54" i="7"/>
  <c r="K57" i="7"/>
  <c r="L57" i="7" s="1"/>
  <c r="N57" i="7" s="1"/>
  <c r="V57" i="7"/>
  <c r="K45" i="7"/>
  <c r="L45" i="7" s="1"/>
  <c r="N45" i="7" s="1"/>
  <c r="V45" i="7"/>
  <c r="K51" i="7"/>
  <c r="L51" i="7" s="1"/>
  <c r="N51" i="7" s="1"/>
  <c r="V51" i="7"/>
  <c r="K43" i="7"/>
  <c r="L43" i="7" s="1"/>
  <c r="N43" i="7" s="1"/>
  <c r="V43" i="7"/>
  <c r="K48" i="7"/>
  <c r="L48" i="7" s="1"/>
  <c r="N48" i="7" s="1"/>
  <c r="V48" i="7"/>
  <c r="K52" i="7"/>
  <c r="L52" i="7" s="1"/>
  <c r="N52" i="7" s="1"/>
  <c r="V52" i="7"/>
  <c r="K42" i="7"/>
  <c r="L42" i="7" s="1"/>
  <c r="N42" i="7" s="1"/>
  <c r="V42" i="7"/>
  <c r="K50" i="7"/>
  <c r="L50" i="7" s="1"/>
  <c r="N50" i="7" s="1"/>
  <c r="V50" i="7"/>
  <c r="K44" i="7"/>
  <c r="L44" i="7" s="1"/>
  <c r="N44" i="7" s="1"/>
  <c r="V44" i="7"/>
  <c r="K55" i="7"/>
  <c r="L55" i="7" s="1"/>
  <c r="N55" i="7" s="1"/>
  <c r="V55" i="7"/>
  <c r="K65" i="7"/>
  <c r="L65" i="7" s="1"/>
  <c r="N65" i="7" s="1"/>
  <c r="V65" i="7"/>
  <c r="K62" i="7"/>
  <c r="L62" i="7" s="1"/>
  <c r="N62" i="7" s="1"/>
  <c r="V62" i="7"/>
  <c r="K63" i="7"/>
  <c r="L63" i="7" s="1"/>
  <c r="N63" i="7" s="1"/>
  <c r="V63" i="7"/>
  <c r="K59" i="7"/>
  <c r="L59" i="7" s="1"/>
  <c r="N59" i="7" s="1"/>
  <c r="V59" i="7"/>
  <c r="K37" i="7"/>
  <c r="L37" i="7" s="1"/>
  <c r="N37" i="7" s="1"/>
  <c r="V37" i="7"/>
  <c r="K40" i="7"/>
  <c r="L40" i="7" s="1"/>
  <c r="N40" i="7" s="1"/>
  <c r="V40" i="7"/>
  <c r="K46" i="7"/>
  <c r="L46" i="7" s="1"/>
  <c r="N46" i="7" s="1"/>
  <c r="V46" i="7"/>
  <c r="K47" i="7"/>
  <c r="L47" i="7" s="1"/>
  <c r="N47" i="7" s="1"/>
  <c r="V47" i="7"/>
  <c r="K41" i="7"/>
  <c r="L41" i="7" s="1"/>
  <c r="N41" i="7" s="1"/>
  <c r="V41" i="7"/>
  <c r="K64" i="7"/>
  <c r="L64" i="7" s="1"/>
  <c r="N64" i="7" s="1"/>
  <c r="V64" i="7"/>
  <c r="K61" i="7"/>
  <c r="L61" i="7" s="1"/>
  <c r="N61" i="7" s="1"/>
  <c r="V61" i="7"/>
  <c r="K60" i="7"/>
  <c r="L60" i="7" s="1"/>
  <c r="N60" i="7" s="1"/>
  <c r="V60" i="7"/>
  <c r="K38" i="7"/>
  <c r="L38" i="7" s="1"/>
  <c r="N38" i="7" s="1"/>
  <c r="V38" i="7"/>
  <c r="K53" i="7"/>
  <c r="L53" i="7" s="1"/>
  <c r="N53" i="7" s="1"/>
  <c r="V53" i="7"/>
  <c r="K66" i="7"/>
  <c r="L66" i="7" s="1"/>
  <c r="N66" i="7" s="1"/>
  <c r="V66" i="7"/>
  <c r="K56" i="7"/>
  <c r="L56" i="7" s="1"/>
  <c r="N56" i="7" s="1"/>
  <c r="V56" i="7"/>
  <c r="K58" i="7"/>
  <c r="L58" i="7" s="1"/>
  <c r="N58" i="7" s="1"/>
  <c r="V58" i="7"/>
  <c r="I56" i="7"/>
  <c r="I43" i="7"/>
  <c r="I38" i="7"/>
  <c r="I49" i="7"/>
  <c r="I54" i="7"/>
  <c r="I50" i="7"/>
  <c r="I44" i="7"/>
  <c r="I46" i="7"/>
  <c r="I45" i="7"/>
  <c r="I41" i="7"/>
  <c r="I47" i="7"/>
  <c r="N54" i="7"/>
  <c r="I55" i="7"/>
  <c r="I66" i="7"/>
  <c r="I39" i="7"/>
  <c r="I48" i="7"/>
  <c r="I42" i="7"/>
  <c r="I57" i="7"/>
  <c r="I59" i="7"/>
  <c r="I62" i="7"/>
  <c r="I65" i="7"/>
  <c r="I64" i="7"/>
  <c r="I60" i="7"/>
  <c r="I63" i="7"/>
  <c r="I61" i="7"/>
  <c r="I58" i="7"/>
  <c r="I52" i="7"/>
  <c r="I51" i="7"/>
  <c r="I53" i="7"/>
  <c r="I40" i="7"/>
  <c r="I37" i="7"/>
  <c r="C36" i="7"/>
  <c r="D36" i="7" s="1"/>
  <c r="H36" i="7"/>
  <c r="E36" i="7"/>
  <c r="F36" i="7" s="1"/>
  <c r="G36" i="7" s="1"/>
  <c r="J36" i="7"/>
  <c r="T41" i="7" l="1"/>
  <c r="W41" i="7" s="1"/>
  <c r="T58" i="7"/>
  <c r="W58" i="7" s="1"/>
  <c r="U61" i="7"/>
  <c r="X61" i="7" s="1"/>
  <c r="T57" i="7"/>
  <c r="W57" i="7" s="1"/>
  <c r="U39" i="7"/>
  <c r="X39" i="7" s="1"/>
  <c r="T64" i="7"/>
  <c r="W64" i="7" s="1"/>
  <c r="U65" i="7"/>
  <c r="X65" i="7" s="1"/>
  <c r="U55" i="7"/>
  <c r="X55" i="7" s="1"/>
  <c r="U40" i="7"/>
  <c r="X40" i="7" s="1"/>
  <c r="T53" i="7"/>
  <c r="W53" i="7" s="1"/>
  <c r="U54" i="7"/>
  <c r="X54" i="7" s="1"/>
  <c r="U63" i="7"/>
  <c r="X63" i="7" s="1"/>
  <c r="T62" i="7"/>
  <c r="W62" i="7" s="1"/>
  <c r="T52" i="7"/>
  <c r="W52" i="7" s="1"/>
  <c r="U60" i="7"/>
  <c r="X60" i="7" s="1"/>
  <c r="T38" i="7"/>
  <c r="W38" i="7" s="1"/>
  <c r="U38" i="7"/>
  <c r="X38" i="7" s="1"/>
  <c r="T48" i="7"/>
  <c r="W48" i="7" s="1"/>
  <c r="U47" i="7"/>
  <c r="X47" i="7" s="1"/>
  <c r="T46" i="7"/>
  <c r="W46" i="7" s="1"/>
  <c r="U49" i="7"/>
  <c r="X49" i="7" s="1"/>
  <c r="T37" i="7"/>
  <c r="W37" i="7" s="1"/>
  <c r="U57" i="7"/>
  <c r="X57" i="7" s="1"/>
  <c r="T39" i="7"/>
  <c r="W39" i="7" s="1"/>
  <c r="T55" i="7"/>
  <c r="W55" i="7" s="1"/>
  <c r="U41" i="7"/>
  <c r="X41" i="7" s="1"/>
  <c r="U44" i="7"/>
  <c r="X44" i="7" s="1"/>
  <c r="U56" i="7"/>
  <c r="X56" i="7" s="1"/>
  <c r="T42" i="7"/>
  <c r="W42" i="7" s="1"/>
  <c r="U51" i="7"/>
  <c r="X51" i="7" s="1"/>
  <c r="U59" i="7"/>
  <c r="X59" i="7" s="1"/>
  <c r="U66" i="7"/>
  <c r="X66" i="7" s="1"/>
  <c r="U45" i="7"/>
  <c r="X45" i="7" s="1"/>
  <c r="U50" i="7"/>
  <c r="X50" i="7" s="1"/>
  <c r="U43" i="7"/>
  <c r="X43" i="7" s="1"/>
  <c r="U64" i="7"/>
  <c r="X64" i="7" s="1"/>
  <c r="T51" i="7"/>
  <c r="W51" i="7" s="1"/>
  <c r="T56" i="7"/>
  <c r="W56" i="7" s="1"/>
  <c r="T60" i="7"/>
  <c r="W60" i="7" s="1"/>
  <c r="U58" i="7"/>
  <c r="X58" i="7" s="1"/>
  <c r="T63" i="7"/>
  <c r="W63" i="7" s="1"/>
  <c r="U52" i="7"/>
  <c r="X52" i="7" s="1"/>
  <c r="T66" i="7"/>
  <c r="W66" i="7" s="1"/>
  <c r="U62" i="7"/>
  <c r="X62" i="7" s="1"/>
  <c r="K36" i="7"/>
  <c r="L36" i="7" s="1"/>
  <c r="N36" i="7" s="1"/>
  <c r="V36" i="7"/>
  <c r="T61" i="7"/>
  <c r="W61" i="7" s="1"/>
  <c r="T54" i="7"/>
  <c r="W54" i="7" s="1"/>
  <c r="T65" i="7"/>
  <c r="W65" i="7" s="1"/>
  <c r="T40" i="7"/>
  <c r="W40" i="7" s="1"/>
  <c r="U42" i="7"/>
  <c r="X42" i="7" s="1"/>
  <c r="U37" i="7"/>
  <c r="X37" i="7" s="1"/>
  <c r="T59" i="7"/>
  <c r="W59" i="7" s="1"/>
  <c r="U48" i="7"/>
  <c r="X48" i="7" s="1"/>
  <c r="T44" i="7"/>
  <c r="W44" i="7" s="1"/>
  <c r="U53" i="7"/>
  <c r="X53" i="7" s="1"/>
  <c r="U46" i="7"/>
  <c r="X46" i="7" s="1"/>
  <c r="T47" i="7"/>
  <c r="W47" i="7" s="1"/>
  <c r="T50" i="7"/>
  <c r="W50" i="7" s="1"/>
  <c r="T49" i="7"/>
  <c r="W49" i="7" s="1"/>
  <c r="T43" i="7"/>
  <c r="W43" i="7" s="1"/>
  <c r="T45" i="7"/>
  <c r="W45" i="7" s="1"/>
  <c r="I36" i="7"/>
  <c r="T36" i="7" l="1"/>
  <c r="W36" i="7" s="1"/>
  <c r="U36" i="7"/>
  <c r="X36" i="7" s="1"/>
  <c r="I19" i="12" l="1"/>
  <c r="I18" i="12"/>
  <c r="G21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<sst xmlns="http://schemas.openxmlformats.org/spreadsheetml/2006/main" count="5121" uniqueCount="2150">
  <si>
    <t>Lapis</t>
  </si>
  <si>
    <t>N-SPT</t>
  </si>
  <si>
    <t>Kedalaman</t>
  </si>
  <si>
    <t>m</t>
  </si>
  <si>
    <t>Tebal</t>
  </si>
  <si>
    <t>N</t>
  </si>
  <si>
    <t>tebal/N-SPT</t>
  </si>
  <si>
    <r>
      <t>∑</t>
    </r>
    <r>
      <rPr>
        <sz val="11"/>
        <color theme="1"/>
        <rFont val="Times New Roman"/>
        <family val="2"/>
        <charset val="1"/>
      </rPr>
      <t>N</t>
    </r>
  </si>
  <si>
    <t>30/∑N</t>
  </si>
  <si>
    <t>B1</t>
  </si>
  <si>
    <t>B2</t>
  </si>
  <si>
    <t>As</t>
  </si>
  <si>
    <t xml:space="preserve"> </t>
  </si>
  <si>
    <t>T0</t>
  </si>
  <si>
    <t>SDS</t>
  </si>
  <si>
    <t>Ts</t>
  </si>
  <si>
    <t>Ts+0.1</t>
  </si>
  <si>
    <t>SD1</t>
  </si>
  <si>
    <t>Ts+0.3</t>
  </si>
  <si>
    <t>Ts+0.4</t>
  </si>
  <si>
    <t>Ts+0.5</t>
  </si>
  <si>
    <t>Ts+0.6</t>
  </si>
  <si>
    <t>Ts+0.7</t>
  </si>
  <si>
    <t>Ts+0.8</t>
  </si>
  <si>
    <t>Ts+0.9</t>
  </si>
  <si>
    <t>Ts+1</t>
  </si>
  <si>
    <t>Ts+1.1</t>
  </si>
  <si>
    <t>Ts+1.2</t>
  </si>
  <si>
    <t>Ts+1.3</t>
  </si>
  <si>
    <t>Ts+1.4</t>
  </si>
  <si>
    <t>Ts+1.5</t>
  </si>
  <si>
    <t>Ts+1.6</t>
  </si>
  <si>
    <t>Ts+1.7</t>
  </si>
  <si>
    <t>Ts+1.8</t>
  </si>
  <si>
    <t>Ts+1.9</t>
  </si>
  <si>
    <t>Ts+2</t>
  </si>
  <si>
    <t>Ts+2.1</t>
  </si>
  <si>
    <t>Ts+2.2</t>
  </si>
  <si>
    <t>Ts+2.3</t>
  </si>
  <si>
    <t>Ts+2.4</t>
  </si>
  <si>
    <t>Ts+2.5</t>
  </si>
  <si>
    <t>Ts+2.6</t>
  </si>
  <si>
    <t>Ts+2.7</t>
  </si>
  <si>
    <t>Ts+2.8</t>
  </si>
  <si>
    <t>Ts+2.9</t>
  </si>
  <si>
    <t>Ts+3</t>
  </si>
  <si>
    <t>Ts+3.1</t>
  </si>
  <si>
    <t>Ts+3.2</t>
  </si>
  <si>
    <t>PEMBEBANAN JEMBATAN RANGKA</t>
  </si>
  <si>
    <t>SNI 1725:2016</t>
  </si>
  <si>
    <t>Data Jembatan</t>
  </si>
  <si>
    <t>Pilih</t>
  </si>
  <si>
    <t>=</t>
  </si>
  <si>
    <t>Lebar total bersih jalan</t>
  </si>
  <si>
    <t>Jumlah lajur</t>
  </si>
  <si>
    <t>jalur</t>
  </si>
  <si>
    <t>Lebar bersih @lajur</t>
  </si>
  <si>
    <t>Pembebanan</t>
  </si>
  <si>
    <t>Beban Mati (MS)</t>
  </si>
  <si>
    <t>a</t>
  </si>
  <si>
    <t>Berat sendiri + Sambungan</t>
  </si>
  <si>
    <t>*Beban sendiri secara otomatis terhitung oleh software</t>
  </si>
  <si>
    <t>Faktor pengali</t>
  </si>
  <si>
    <t>mm</t>
  </si>
  <si>
    <t>Berat beton bertulang</t>
  </si>
  <si>
    <r>
      <t>w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=</t>
    </r>
  </si>
  <si>
    <r>
      <t>kN/m</t>
    </r>
    <r>
      <rPr>
        <vertAlign val="superscript"/>
        <sz val="11"/>
        <color theme="1"/>
        <rFont val="Times New Roman"/>
        <family val="1"/>
      </rPr>
      <t>3</t>
    </r>
  </si>
  <si>
    <t>TABEL DATA BERAT UNTUK BAJA LAPIS GALVANIS</t>
  </si>
  <si>
    <t>kN/m</t>
  </si>
  <si>
    <t>Berat baja</t>
  </si>
  <si>
    <r>
      <t>w</t>
    </r>
    <r>
      <rPr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 xml:space="preserve"> =</t>
    </r>
  </si>
  <si>
    <r>
      <t>kN/m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돋움"/>
        <family val="2"/>
      </rPr>
      <t/>
    </r>
  </si>
  <si>
    <t>Tebal (TCT)</t>
  </si>
  <si>
    <t>Berat/m’</t>
  </si>
  <si>
    <t>Berat beton tidak bertulang (beton rabat)</t>
  </si>
  <si>
    <r>
      <t>w'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=</t>
    </r>
  </si>
  <si>
    <t>kg</t>
  </si>
  <si>
    <t>Berat aspal</t>
  </si>
  <si>
    <r>
      <t>w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=</t>
    </r>
  </si>
  <si>
    <t>b</t>
  </si>
  <si>
    <t>Berat jenis air</t>
  </si>
  <si>
    <r>
      <t>w</t>
    </r>
    <r>
      <rPr>
        <vertAlign val="subscript"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 xml:space="preserve"> =</t>
    </r>
  </si>
  <si>
    <t>Berat Jenis Beton Bertulang</t>
  </si>
  <si>
    <t>kN/m3</t>
  </si>
  <si>
    <t>Beban Mati Tambahan (MA)</t>
  </si>
  <si>
    <t>Beban Air hujan</t>
  </si>
  <si>
    <t>Tinggi rencana genangan air</t>
  </si>
  <si>
    <t>Beban Aspal</t>
  </si>
  <si>
    <t>Tinggi rencana aspal</t>
  </si>
  <si>
    <t>kN</t>
  </si>
  <si>
    <t>Beban Truk (TT)</t>
  </si>
  <si>
    <t>Gaya Rem (TB)</t>
  </si>
  <si>
    <t>Gaya rem didapatkan dari 2 kondisi sebagai berikut:</t>
  </si>
  <si>
    <t>-</t>
  </si>
  <si>
    <t>25% dari berat gandar truk desain</t>
  </si>
  <si>
    <t>5% dari berat truck rencana+ BTR</t>
  </si>
  <si>
    <t>diambil terbesar</t>
  </si>
  <si>
    <t>Eccentricity</t>
  </si>
  <si>
    <t>Beban Angin</t>
  </si>
  <si>
    <t>Tekanan angin horizontal</t>
  </si>
  <si>
    <t>km/jam</t>
  </si>
  <si>
    <t>*90-126 km/jam</t>
  </si>
  <si>
    <t>Kecepatan Gesekan Angin (Vo)</t>
  </si>
  <si>
    <t>Lahan Terbuka</t>
  </si>
  <si>
    <t>Elevasi struktur diukur dari permukaan tanah (Z)</t>
  </si>
  <si>
    <t>Panjang gesekan di hulu jembatan (Zo)</t>
  </si>
  <si>
    <t>Kecepatan angin rencana pada elevasi</t>
  </si>
  <si>
    <t>7a.</t>
  </si>
  <si>
    <t>Angin Tekan</t>
  </si>
  <si>
    <t>Angin Hisap</t>
  </si>
  <si>
    <t>MPa</t>
  </si>
  <si>
    <t>Gaya total beban angin minimum</t>
  </si>
  <si>
    <t>Maka, diambil nilai beban angin</t>
  </si>
  <si>
    <t>7b.</t>
  </si>
  <si>
    <t>Beban angin pada kendaraan (EWl)</t>
  </si>
  <si>
    <t>Kondisi komponen</t>
  </si>
  <si>
    <t>Komponen Tegak Lurus</t>
  </si>
  <si>
    <t>Sudut</t>
  </si>
  <si>
    <t>derajat</t>
  </si>
  <si>
    <t>Gaya angin</t>
  </si>
  <si>
    <r>
      <t>Kecepatan Dasar Angin Rencana (V</t>
    </r>
    <r>
      <rPr>
        <sz val="8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</si>
  <si>
    <r>
      <t>Kecepatan Angin pada Level 10m diatas permukaan tanah (V</t>
    </r>
    <r>
      <rPr>
        <sz val="8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)</t>
    </r>
  </si>
  <si>
    <r>
      <t>Beban angin pada struktur (EW</t>
    </r>
    <r>
      <rPr>
        <b/>
        <sz val="8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>)</t>
    </r>
  </si>
  <si>
    <r>
      <t>Tekanan angin dasar (P</t>
    </r>
    <r>
      <rPr>
        <sz val="8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</si>
  <si>
    <r>
      <t>Tekanan angin rencana (P</t>
    </r>
    <r>
      <rPr>
        <sz val="8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)</t>
    </r>
  </si>
  <si>
    <t>Input</t>
  </si>
  <si>
    <t>Panjang P1</t>
  </si>
  <si>
    <t>Panjang P2</t>
  </si>
  <si>
    <t>Panjang total bentang</t>
  </si>
  <si>
    <t>Beban Mati Struktur (MB 800 + MB 2000 + LC + CSP)</t>
  </si>
  <si>
    <t>Beban Mati Parapet</t>
  </si>
  <si>
    <t>Luas Penampang Parapet</t>
  </si>
  <si>
    <t>m2</t>
  </si>
  <si>
    <t>Lebar Parapet</t>
  </si>
  <si>
    <t>Berat Parapet</t>
  </si>
  <si>
    <t>kN/m2</t>
  </si>
  <si>
    <t>Beban air hujan</t>
  </si>
  <si>
    <t>Pembebanan Truk dipilih otomatis menggunakan Moving Load Cases dengan nilai FBD 30%</t>
  </si>
  <si>
    <t>Beban Roda Depan</t>
  </si>
  <si>
    <t>T1</t>
  </si>
  <si>
    <t>Beban Roda Tengah</t>
  </si>
  <si>
    <t>T2</t>
  </si>
  <si>
    <t>Beban Roda Belakang</t>
  </si>
  <si>
    <t>T3</t>
  </si>
  <si>
    <t>FBD</t>
  </si>
  <si>
    <t>Setelah Penambahan FBD</t>
  </si>
  <si>
    <t>PTT1</t>
  </si>
  <si>
    <t>PTT2</t>
  </si>
  <si>
    <t>PTT3</t>
  </si>
  <si>
    <t>(1 lajur)</t>
  </si>
  <si>
    <t>Input per lajur</t>
  </si>
  <si>
    <t>(lajur selatan)</t>
  </si>
  <si>
    <t>(lajur utara)</t>
  </si>
  <si>
    <t>Permukaan datar</t>
  </si>
  <si>
    <t>Input per tapak ban</t>
  </si>
  <si>
    <t>Data Material</t>
  </si>
  <si>
    <t>fc'</t>
  </si>
  <si>
    <t>fy</t>
  </si>
  <si>
    <t>Slab Beton</t>
  </si>
  <si>
    <t>Lebar slab</t>
  </si>
  <si>
    <t>Tinggi slab</t>
  </si>
  <si>
    <t>h</t>
  </si>
  <si>
    <t>Dia. Tulangan atas</t>
  </si>
  <si>
    <t>d1</t>
  </si>
  <si>
    <t>D1</t>
  </si>
  <si>
    <t>D2</t>
  </si>
  <si>
    <t>Dia. Tulangan bawah</t>
  </si>
  <si>
    <t>Jumlah Tulangan atas</t>
  </si>
  <si>
    <t>buah</t>
  </si>
  <si>
    <t>Jumlah Tulangan bawah</t>
  </si>
  <si>
    <t>n atas</t>
  </si>
  <si>
    <t>n bawah</t>
  </si>
  <si>
    <t>Tulangan</t>
  </si>
  <si>
    <t>Beton</t>
  </si>
  <si>
    <t>E</t>
  </si>
  <si>
    <t>As1</t>
  </si>
  <si>
    <t>mm2</t>
  </si>
  <si>
    <t>As2</t>
  </si>
  <si>
    <t>As3</t>
  </si>
  <si>
    <t>d2</t>
  </si>
  <si>
    <t>d3</t>
  </si>
  <si>
    <t>Corrugated Steel</t>
  </si>
  <si>
    <t>t</t>
  </si>
  <si>
    <t>Cek As min.</t>
  </si>
  <si>
    <t>Faktor reduksi beton</t>
  </si>
  <si>
    <t>β1</t>
  </si>
  <si>
    <r>
      <t>(</t>
    </r>
    <r>
      <rPr>
        <sz val="11"/>
        <color theme="1"/>
        <rFont val="Times New Roman"/>
        <family val="1"/>
      </rPr>
      <t xml:space="preserve">≤ </t>
    </r>
    <r>
      <rPr>
        <sz val="11"/>
        <color theme="1"/>
        <rFont val="Times New Roman"/>
        <family val="2"/>
        <charset val="1"/>
      </rPr>
      <t>30 Mpa)</t>
    </r>
  </si>
  <si>
    <t>ε</t>
  </si>
  <si>
    <t>As tot</t>
  </si>
  <si>
    <t>As min 1</t>
  </si>
  <si>
    <t>As min 2</t>
  </si>
  <si>
    <t>Cek rasio tulangan</t>
  </si>
  <si>
    <t>ρ</t>
  </si>
  <si>
    <t>Momen Positif</t>
  </si>
  <si>
    <t>c (mm)</t>
  </si>
  <si>
    <t>a (mm)</t>
  </si>
  <si>
    <t>Cc (kN)</t>
  </si>
  <si>
    <t>εs</t>
  </si>
  <si>
    <t>Kondisi</t>
  </si>
  <si>
    <t>Faktor reduksi kekuatan</t>
  </si>
  <si>
    <t>Lentur</t>
  </si>
  <si>
    <t>ϕ</t>
  </si>
  <si>
    <t>Tekan</t>
  </si>
  <si>
    <t>(sengkang biasa)</t>
  </si>
  <si>
    <t>Ts1 (kN)</t>
  </si>
  <si>
    <t>Ts2 (kN)</t>
  </si>
  <si>
    <t>Ts3 (kN)</t>
  </si>
  <si>
    <t>ϕ Pn (kN)</t>
  </si>
  <si>
    <t>ϕ Mn (kNm)</t>
  </si>
  <si>
    <t>e kecil</t>
  </si>
  <si>
    <t>Ag</t>
  </si>
  <si>
    <t>Seimbang</t>
  </si>
  <si>
    <t>Regangan ijin beton</t>
  </si>
  <si>
    <t>Leleh</t>
  </si>
  <si>
    <t>fs (MPa)</t>
  </si>
  <si>
    <t>Mn Murni</t>
  </si>
  <si>
    <t>Momen Negatif</t>
  </si>
  <si>
    <t>Elem</t>
  </si>
  <si>
    <t>Load</t>
  </si>
  <si>
    <t>Step Order</t>
  </si>
  <si>
    <t>Part</t>
  </si>
  <si>
    <t>Part Order</t>
  </si>
  <si>
    <t>Component</t>
  </si>
  <si>
    <t>Axial
(kN)</t>
  </si>
  <si>
    <t>Shear-y
(kN)</t>
  </si>
  <si>
    <t>Shear-z
(kN)</t>
  </si>
  <si>
    <t>Torsion
(kN*m)</t>
  </si>
  <si>
    <t>Moment-y
(kN*m)</t>
  </si>
  <si>
    <t>Moment-z
(kN*m)</t>
  </si>
  <si>
    <t>Kuat I(all)</t>
  </si>
  <si>
    <t>I[35]</t>
  </si>
  <si>
    <t>J[34]</t>
  </si>
  <si>
    <t>I[34]</t>
  </si>
  <si>
    <t>J[33]</t>
  </si>
  <si>
    <t>I[33]</t>
  </si>
  <si>
    <t>J[32]</t>
  </si>
  <si>
    <t>I[32]</t>
  </si>
  <si>
    <t>J[31]</t>
  </si>
  <si>
    <t>I[31]</t>
  </si>
  <si>
    <t>J[30]</t>
  </si>
  <si>
    <t>I[30]</t>
  </si>
  <si>
    <t>J[28]</t>
  </si>
  <si>
    <t>I[28]</t>
  </si>
  <si>
    <t>J[27]</t>
  </si>
  <si>
    <t>I[27]</t>
  </si>
  <si>
    <t>J[26]</t>
  </si>
  <si>
    <t>I[26]</t>
  </si>
  <si>
    <t>J[25]</t>
  </si>
  <si>
    <t>I[25]</t>
  </si>
  <si>
    <t>J[24]</t>
  </si>
  <si>
    <t>I[24]</t>
  </si>
  <si>
    <t>J[23]</t>
  </si>
  <si>
    <t>I[23]</t>
  </si>
  <si>
    <t>J[22]</t>
  </si>
  <si>
    <t>I[22]</t>
  </si>
  <si>
    <t>J[21]</t>
  </si>
  <si>
    <t>I[21]</t>
  </si>
  <si>
    <t>J[20]</t>
  </si>
  <si>
    <t>I[20]</t>
  </si>
  <si>
    <t>J[19]</t>
  </si>
  <si>
    <t>I[19]</t>
  </si>
  <si>
    <t>J[18]</t>
  </si>
  <si>
    <t>I[18]</t>
  </si>
  <si>
    <t>J[17]</t>
  </si>
  <si>
    <t>I[17]</t>
  </si>
  <si>
    <t>J[16]</t>
  </si>
  <si>
    <t>I[16]</t>
  </si>
  <si>
    <t>J[15]</t>
  </si>
  <si>
    <t>I[15]</t>
  </si>
  <si>
    <t>J[14]</t>
  </si>
  <si>
    <t>I[14]</t>
  </si>
  <si>
    <t>J[13]</t>
  </si>
  <si>
    <t>I[13]</t>
  </si>
  <si>
    <t>J[12]</t>
  </si>
  <si>
    <t>I[12]</t>
  </si>
  <si>
    <t>J[11]</t>
  </si>
  <si>
    <t>I[11]</t>
  </si>
  <si>
    <t>J[10]</t>
  </si>
  <si>
    <t>I[10]</t>
  </si>
  <si>
    <t>J[9]</t>
  </si>
  <si>
    <t>I[9]</t>
  </si>
  <si>
    <t>J[7]</t>
  </si>
  <si>
    <t>I[7]</t>
  </si>
  <si>
    <t>J[6]</t>
  </si>
  <si>
    <t>I[6]</t>
  </si>
  <si>
    <t>J[5]</t>
  </si>
  <si>
    <t>I[5]</t>
  </si>
  <si>
    <t>J[4]</t>
  </si>
  <si>
    <t>I[4]</t>
  </si>
  <si>
    <t>J[3]</t>
  </si>
  <si>
    <t>I[3]</t>
  </si>
  <si>
    <t>J[2]</t>
  </si>
  <si>
    <t>I[36]</t>
  </si>
  <si>
    <t>J[35]</t>
  </si>
  <si>
    <t>I[2]</t>
  </si>
  <si>
    <t>J[1]</t>
  </si>
  <si>
    <t>I[1063]</t>
  </si>
  <si>
    <t>J[1064]</t>
  </si>
  <si>
    <t>I[1064]</t>
  </si>
  <si>
    <t>J[1065]</t>
  </si>
  <si>
    <t>I[1065]</t>
  </si>
  <si>
    <t>J[1066]</t>
  </si>
  <si>
    <t>I[1066]</t>
  </si>
  <si>
    <t>J[1067]</t>
  </si>
  <si>
    <t>I[1067]</t>
  </si>
  <si>
    <t>J[1068]</t>
  </si>
  <si>
    <t>I[1068]</t>
  </si>
  <si>
    <t>J[1069]</t>
  </si>
  <si>
    <t>I[1069]</t>
  </si>
  <si>
    <t>J[1070]</t>
  </si>
  <si>
    <t>I[1070]</t>
  </si>
  <si>
    <t>J[1071]</t>
  </si>
  <si>
    <t>I[1071]</t>
  </si>
  <si>
    <t>J[1072]</t>
  </si>
  <si>
    <t>I[1072]</t>
  </si>
  <si>
    <t>J[1073]</t>
  </si>
  <si>
    <t>I[1073]</t>
  </si>
  <si>
    <t>J[1074]</t>
  </si>
  <si>
    <t>I[1074]</t>
  </si>
  <si>
    <t>J[1075]</t>
  </si>
  <si>
    <t>I[1075]</t>
  </si>
  <si>
    <t>J[1076]</t>
  </si>
  <si>
    <t>I[1076]</t>
  </si>
  <si>
    <t>J[1077]</t>
  </si>
  <si>
    <t>I[1077]</t>
  </si>
  <si>
    <t>J[1078]</t>
  </si>
  <si>
    <t>I[1078]</t>
  </si>
  <si>
    <t>J[1079]</t>
  </si>
  <si>
    <t>I[1079]</t>
  </si>
  <si>
    <t>J[1080]</t>
  </si>
  <si>
    <t>I[1080]</t>
  </si>
  <si>
    <t>J[1081]</t>
  </si>
  <si>
    <t>I[1081]</t>
  </si>
  <si>
    <t>J[1082]</t>
  </si>
  <si>
    <t>I[1082]</t>
  </si>
  <si>
    <t>J[1083]</t>
  </si>
  <si>
    <t>I[1083]</t>
  </si>
  <si>
    <t>J[1084]</t>
  </si>
  <si>
    <t>I[1084]</t>
  </si>
  <si>
    <t>J[1085]</t>
  </si>
  <si>
    <t>I[1085]</t>
  </si>
  <si>
    <t>J[1086]</t>
  </si>
  <si>
    <t>I[1086]</t>
  </si>
  <si>
    <t>J[1087]</t>
  </si>
  <si>
    <t>I[1087]</t>
  </si>
  <si>
    <t>J[1088]</t>
  </si>
  <si>
    <t>I[1088]</t>
  </si>
  <si>
    <t>J[1089]</t>
  </si>
  <si>
    <t>I[1089]</t>
  </si>
  <si>
    <t>J[1090]</t>
  </si>
  <si>
    <t>I[1090]</t>
  </si>
  <si>
    <t>J[1091]</t>
  </si>
  <si>
    <t>I[1091]</t>
  </si>
  <si>
    <t>J[1092]</t>
  </si>
  <si>
    <t>I[1092]</t>
  </si>
  <si>
    <t>J[1093]</t>
  </si>
  <si>
    <t>I[1093]</t>
  </si>
  <si>
    <t>J[1094]</t>
  </si>
  <si>
    <t>I[1114]</t>
  </si>
  <si>
    <t>J[1063]</t>
  </si>
  <si>
    <t>I[1094]</t>
  </si>
  <si>
    <t>J[1115]</t>
  </si>
  <si>
    <t>I[1135]</t>
  </si>
  <si>
    <t>J[1136]</t>
  </si>
  <si>
    <t>I[1136]</t>
  </si>
  <si>
    <t>J[1137]</t>
  </si>
  <si>
    <t>I[1137]</t>
  </si>
  <si>
    <t>J[1138]</t>
  </si>
  <si>
    <t>I[1138]</t>
  </si>
  <si>
    <t>J[1139]</t>
  </si>
  <si>
    <t>I[1139]</t>
  </si>
  <si>
    <t>J[1140]</t>
  </si>
  <si>
    <t>I[1140]</t>
  </si>
  <si>
    <t>J[1141]</t>
  </si>
  <si>
    <t>I[1141]</t>
  </si>
  <si>
    <t>J[1142]</t>
  </si>
  <si>
    <t>I[1142]</t>
  </si>
  <si>
    <t>J[1143]</t>
  </si>
  <si>
    <t>I[1143]</t>
  </si>
  <si>
    <t>J[1144]</t>
  </si>
  <si>
    <t>I[1144]</t>
  </si>
  <si>
    <t>J[1145]</t>
  </si>
  <si>
    <t>I[1145]</t>
  </si>
  <si>
    <t>J[1146]</t>
  </si>
  <si>
    <t>I[1146]</t>
  </si>
  <si>
    <t>J[1147]</t>
  </si>
  <si>
    <t>I[1147]</t>
  </si>
  <si>
    <t>J[1148]</t>
  </si>
  <si>
    <t>I[1148]</t>
  </si>
  <si>
    <t>J[1149]</t>
  </si>
  <si>
    <t>I[1149]</t>
  </si>
  <si>
    <t>J[1150]</t>
  </si>
  <si>
    <t>I[1150]</t>
  </si>
  <si>
    <t>J[1151]</t>
  </si>
  <si>
    <t>I[1151]</t>
  </si>
  <si>
    <t>J[1152]</t>
  </si>
  <si>
    <t>I[1152]</t>
  </si>
  <si>
    <t>J[1153]</t>
  </si>
  <si>
    <t>I[1153]</t>
  </si>
  <si>
    <t>J[1154]</t>
  </si>
  <si>
    <t>I[1154]</t>
  </si>
  <si>
    <t>J[1155]</t>
  </si>
  <si>
    <t>I[1155]</t>
  </si>
  <si>
    <t>J[1156]</t>
  </si>
  <si>
    <t>I[1156]</t>
  </si>
  <si>
    <t>J[1157]</t>
  </si>
  <si>
    <t>I[1157]</t>
  </si>
  <si>
    <t>J[1158]</t>
  </si>
  <si>
    <t>I[1158]</t>
  </si>
  <si>
    <t>J[1159]</t>
  </si>
  <si>
    <t>I[1159]</t>
  </si>
  <si>
    <t>J[1160]</t>
  </si>
  <si>
    <t>I[1160]</t>
  </si>
  <si>
    <t>J[1161]</t>
  </si>
  <si>
    <t>I[1161]</t>
  </si>
  <si>
    <t>J[1162]</t>
  </si>
  <si>
    <t>I[1162]</t>
  </si>
  <si>
    <t>J[1163]</t>
  </si>
  <si>
    <t>I[1163]</t>
  </si>
  <si>
    <t>J[1164]</t>
  </si>
  <si>
    <t>I[1164]</t>
  </si>
  <si>
    <t>J[1165]</t>
  </si>
  <si>
    <t>I[1165]</t>
  </si>
  <si>
    <t>J[1166]</t>
  </si>
  <si>
    <t>I[1186]</t>
  </si>
  <si>
    <t>J[1135]</t>
  </si>
  <si>
    <t>I[1166]</t>
  </si>
  <si>
    <t>J[1187]</t>
  </si>
  <si>
    <t>I[1207]</t>
  </si>
  <si>
    <t>J[1208]</t>
  </si>
  <si>
    <t>I[1208]</t>
  </si>
  <si>
    <t>J[1209]</t>
  </si>
  <si>
    <t>I[1209]</t>
  </si>
  <si>
    <t>J[1210]</t>
  </si>
  <si>
    <t>I[1210]</t>
  </si>
  <si>
    <t>J[1211]</t>
  </si>
  <si>
    <t>I[1211]</t>
  </si>
  <si>
    <t>J[1212]</t>
  </si>
  <si>
    <t>I[1212]</t>
  </si>
  <si>
    <t>J[1213]</t>
  </si>
  <si>
    <t>I[1213]</t>
  </si>
  <si>
    <t>J[1214]</t>
  </si>
  <si>
    <t>I[1214]</t>
  </si>
  <si>
    <t>J[1215]</t>
  </si>
  <si>
    <t>I[1215]</t>
  </si>
  <si>
    <t>J[1216]</t>
  </si>
  <si>
    <t>I[1216]</t>
  </si>
  <si>
    <t>J[1217]</t>
  </si>
  <si>
    <t>I[1217]</t>
  </si>
  <si>
    <t>J[1218]</t>
  </si>
  <si>
    <t>I[1218]</t>
  </si>
  <si>
    <t>J[1219]</t>
  </si>
  <si>
    <t>I[1219]</t>
  </si>
  <si>
    <t>J[1220]</t>
  </si>
  <si>
    <t>I[1220]</t>
  </si>
  <si>
    <t>J[1221]</t>
  </si>
  <si>
    <t>I[1221]</t>
  </si>
  <si>
    <t>J[1222]</t>
  </si>
  <si>
    <t>I[1222]</t>
  </si>
  <si>
    <t>J[1223]</t>
  </si>
  <si>
    <t>I[1223]</t>
  </si>
  <si>
    <t>J[1224]</t>
  </si>
  <si>
    <t>I[1224]</t>
  </si>
  <si>
    <t>J[1225]</t>
  </si>
  <si>
    <t>I[1225]</t>
  </si>
  <si>
    <t>J[1226]</t>
  </si>
  <si>
    <t>I[1226]</t>
  </si>
  <si>
    <t>J[1227]</t>
  </si>
  <si>
    <t>I[1227]</t>
  </si>
  <si>
    <t>J[1228]</t>
  </si>
  <si>
    <t>I[1228]</t>
  </si>
  <si>
    <t>J[1229]</t>
  </si>
  <si>
    <t>I[1229]</t>
  </si>
  <si>
    <t>J[1230]</t>
  </si>
  <si>
    <t>I[1230]</t>
  </si>
  <si>
    <t>J[1231]</t>
  </si>
  <si>
    <t>I[1231]</t>
  </si>
  <si>
    <t>J[1232]</t>
  </si>
  <si>
    <t>I[1232]</t>
  </si>
  <si>
    <t>J[1233]</t>
  </si>
  <si>
    <t>I[1233]</t>
  </si>
  <si>
    <t>J[1234]</t>
  </si>
  <si>
    <t>I[1234]</t>
  </si>
  <si>
    <t>J[1235]</t>
  </si>
  <si>
    <t>I[1235]</t>
  </si>
  <si>
    <t>J[1236]</t>
  </si>
  <si>
    <t>I[1236]</t>
  </si>
  <si>
    <t>J[1237]</t>
  </si>
  <si>
    <t>I[1237]</t>
  </si>
  <si>
    <t>J[1238]</t>
  </si>
  <si>
    <t>I[1258]</t>
  </si>
  <si>
    <t>J[1207]</t>
  </si>
  <si>
    <t>I[1238]</t>
  </si>
  <si>
    <t>J[1259]</t>
  </si>
  <si>
    <t>I[1279]</t>
  </si>
  <si>
    <t>J[1280]</t>
  </si>
  <si>
    <t>I[1280]</t>
  </si>
  <si>
    <t>J[1281]</t>
  </si>
  <si>
    <t>I[1281]</t>
  </si>
  <si>
    <t>J[1282]</t>
  </si>
  <si>
    <t>I[1282]</t>
  </si>
  <si>
    <t>J[1283]</t>
  </si>
  <si>
    <t>I[1283]</t>
  </si>
  <si>
    <t>J[1284]</t>
  </si>
  <si>
    <t>I[1284]</t>
  </si>
  <si>
    <t>J[1285]</t>
  </si>
  <si>
    <t>I[1285]</t>
  </si>
  <si>
    <t>J[1286]</t>
  </si>
  <si>
    <t>I[1286]</t>
  </si>
  <si>
    <t>J[1287]</t>
  </si>
  <si>
    <t>I[1287]</t>
  </si>
  <si>
    <t>J[1288]</t>
  </si>
  <si>
    <t>I[1288]</t>
  </si>
  <si>
    <t>J[1289]</t>
  </si>
  <si>
    <t>I[1289]</t>
  </si>
  <si>
    <t>J[1290]</t>
  </si>
  <si>
    <t>I[1290]</t>
  </si>
  <si>
    <t>J[1291]</t>
  </si>
  <si>
    <t>I[1291]</t>
  </si>
  <si>
    <t>J[1292]</t>
  </si>
  <si>
    <t>I[1292]</t>
  </si>
  <si>
    <t>J[1293]</t>
  </si>
  <si>
    <t>I[1293]</t>
  </si>
  <si>
    <t>J[1294]</t>
  </si>
  <si>
    <t>I[1294]</t>
  </si>
  <si>
    <t>J[1295]</t>
  </si>
  <si>
    <t>I[1295]</t>
  </si>
  <si>
    <t>J[1296]</t>
  </si>
  <si>
    <t>I[1296]</t>
  </si>
  <si>
    <t>J[1297]</t>
  </si>
  <si>
    <t>I[1297]</t>
  </si>
  <si>
    <t>J[1298]</t>
  </si>
  <si>
    <t>I[1298]</t>
  </si>
  <si>
    <t>J[1299]</t>
  </si>
  <si>
    <t>I[1299]</t>
  </si>
  <si>
    <t>J[1300]</t>
  </si>
  <si>
    <t>I[1300]</t>
  </si>
  <si>
    <t>J[1301]</t>
  </si>
  <si>
    <t>I[1301]</t>
  </si>
  <si>
    <t>J[1302]</t>
  </si>
  <si>
    <t>I[1302]</t>
  </si>
  <si>
    <t>J[1303]</t>
  </si>
  <si>
    <t>I[1303]</t>
  </si>
  <si>
    <t>J[1304]</t>
  </si>
  <si>
    <t>I[1304]</t>
  </si>
  <si>
    <t>J[1305]</t>
  </si>
  <si>
    <t>I[1305]</t>
  </si>
  <si>
    <t>J[1306]</t>
  </si>
  <si>
    <t>I[1306]</t>
  </si>
  <si>
    <t>J[1307]</t>
  </si>
  <si>
    <t>I[1307]</t>
  </si>
  <si>
    <t>J[1308]</t>
  </si>
  <si>
    <t>I[1308]</t>
  </si>
  <si>
    <t>J[1309]</t>
  </si>
  <si>
    <t>I[1309]</t>
  </si>
  <si>
    <t>J[1310]</t>
  </si>
  <si>
    <t>I[1330]</t>
  </si>
  <si>
    <t>J[1279]</t>
  </si>
  <si>
    <t>I[1310]</t>
  </si>
  <si>
    <t>J[1331]</t>
  </si>
  <si>
    <t>I[1351]</t>
  </si>
  <si>
    <t>J[1352]</t>
  </si>
  <si>
    <t>I[1352]</t>
  </si>
  <si>
    <t>J[1353]</t>
  </si>
  <si>
    <t>I[1353]</t>
  </si>
  <si>
    <t>J[1354]</t>
  </si>
  <si>
    <t>I[1354]</t>
  </si>
  <si>
    <t>J[1355]</t>
  </si>
  <si>
    <t>I[1355]</t>
  </si>
  <si>
    <t>J[1356]</t>
  </si>
  <si>
    <t>I[1356]</t>
  </si>
  <si>
    <t>J[1357]</t>
  </si>
  <si>
    <t>I[1357]</t>
  </si>
  <si>
    <t>J[1358]</t>
  </si>
  <si>
    <t>I[1358]</t>
  </si>
  <si>
    <t>J[1359]</t>
  </si>
  <si>
    <t>I[1359]</t>
  </si>
  <si>
    <t>J[1360]</t>
  </si>
  <si>
    <t>I[1360]</t>
  </si>
  <si>
    <t>J[1361]</t>
  </si>
  <si>
    <t>I[1361]</t>
  </si>
  <si>
    <t>J[1362]</t>
  </si>
  <si>
    <t>I[1362]</t>
  </si>
  <si>
    <t>J[1363]</t>
  </si>
  <si>
    <t>I[1363]</t>
  </si>
  <si>
    <t>J[1364]</t>
  </si>
  <si>
    <t>I[1364]</t>
  </si>
  <si>
    <t>J[1365]</t>
  </si>
  <si>
    <t>I[1365]</t>
  </si>
  <si>
    <t>J[1366]</t>
  </si>
  <si>
    <t>I[1366]</t>
  </si>
  <si>
    <t>J[1367]</t>
  </si>
  <si>
    <t>I[1367]</t>
  </si>
  <si>
    <t>J[1368]</t>
  </si>
  <si>
    <t>I[1368]</t>
  </si>
  <si>
    <t>J[1369]</t>
  </si>
  <si>
    <t>I[1369]</t>
  </si>
  <si>
    <t>J[1370]</t>
  </si>
  <si>
    <t>I[1370]</t>
  </si>
  <si>
    <t>J[1371]</t>
  </si>
  <si>
    <t>I[1371]</t>
  </si>
  <si>
    <t>J[1372]</t>
  </si>
  <si>
    <t>I[1372]</t>
  </si>
  <si>
    <t>J[1373]</t>
  </si>
  <si>
    <t>I[1373]</t>
  </si>
  <si>
    <t>J[1374]</t>
  </si>
  <si>
    <t>I[1374]</t>
  </si>
  <si>
    <t>J[1375]</t>
  </si>
  <si>
    <t>I[1375]</t>
  </si>
  <si>
    <t>J[1376]</t>
  </si>
  <si>
    <t>I[1376]</t>
  </si>
  <si>
    <t>J[1377]</t>
  </si>
  <si>
    <t>I[1377]</t>
  </si>
  <si>
    <t>J[1378]</t>
  </si>
  <si>
    <t>I[1378]</t>
  </si>
  <si>
    <t>J[1379]</t>
  </si>
  <si>
    <t>I[1379]</t>
  </si>
  <si>
    <t>J[1380]</t>
  </si>
  <si>
    <t>I[1380]</t>
  </si>
  <si>
    <t>J[1381]</t>
  </si>
  <si>
    <t>I[1381]</t>
  </si>
  <si>
    <t>J[1382]</t>
  </si>
  <si>
    <t>I[1402]</t>
  </si>
  <si>
    <t>J[1351]</t>
  </si>
  <si>
    <t>I[1382]</t>
  </si>
  <si>
    <t>J[1403]</t>
  </si>
  <si>
    <t>I[1423]</t>
  </si>
  <si>
    <t>J[1424]</t>
  </si>
  <si>
    <t>I[1424]</t>
  </si>
  <si>
    <t>J[1425]</t>
  </si>
  <si>
    <t>I[1425]</t>
  </si>
  <si>
    <t>J[1426]</t>
  </si>
  <si>
    <t>I[1426]</t>
  </si>
  <si>
    <t>J[1427]</t>
  </si>
  <si>
    <t>I[1427]</t>
  </si>
  <si>
    <t>J[1428]</t>
  </si>
  <si>
    <t>I[1428]</t>
  </si>
  <si>
    <t>J[1429]</t>
  </si>
  <si>
    <t>I[1429]</t>
  </si>
  <si>
    <t>J[1430]</t>
  </si>
  <si>
    <t>I[1430]</t>
  </si>
  <si>
    <t>J[1431]</t>
  </si>
  <si>
    <t>I[1431]</t>
  </si>
  <si>
    <t>J[1432]</t>
  </si>
  <si>
    <t>I[1432]</t>
  </si>
  <si>
    <t>J[1433]</t>
  </si>
  <si>
    <t>I[1433]</t>
  </si>
  <si>
    <t>J[1434]</t>
  </si>
  <si>
    <t>I[1434]</t>
  </si>
  <si>
    <t>J[1435]</t>
  </si>
  <si>
    <t>I[1435]</t>
  </si>
  <si>
    <t>J[1436]</t>
  </si>
  <si>
    <t>I[1436]</t>
  </si>
  <si>
    <t>J[1437]</t>
  </si>
  <si>
    <t>I[1437]</t>
  </si>
  <si>
    <t>J[1438]</t>
  </si>
  <si>
    <t>I[1438]</t>
  </si>
  <si>
    <t>J[1439]</t>
  </si>
  <si>
    <t>I[1439]</t>
  </si>
  <si>
    <t>J[1440]</t>
  </si>
  <si>
    <t>I[1440]</t>
  </si>
  <si>
    <t>J[1441]</t>
  </si>
  <si>
    <t>I[1441]</t>
  </si>
  <si>
    <t>J[1442]</t>
  </si>
  <si>
    <t>I[1442]</t>
  </si>
  <si>
    <t>J[1443]</t>
  </si>
  <si>
    <t>I[1443]</t>
  </si>
  <si>
    <t>J[1444]</t>
  </si>
  <si>
    <t>I[1444]</t>
  </si>
  <si>
    <t>J[1445]</t>
  </si>
  <si>
    <t>I[1445]</t>
  </si>
  <si>
    <t>J[1446]</t>
  </si>
  <si>
    <t>I[1446]</t>
  </si>
  <si>
    <t>J[1447]</t>
  </si>
  <si>
    <t>I[1447]</t>
  </si>
  <si>
    <t>J[1448]</t>
  </si>
  <si>
    <t>I[1448]</t>
  </si>
  <si>
    <t>J[1449]</t>
  </si>
  <si>
    <t>I[1449]</t>
  </si>
  <si>
    <t>J[1450]</t>
  </si>
  <si>
    <t>I[1450]</t>
  </si>
  <si>
    <t>J[1451]</t>
  </si>
  <si>
    <t>I[1451]</t>
  </si>
  <si>
    <t>J[1452]</t>
  </si>
  <si>
    <t>I[1452]</t>
  </si>
  <si>
    <t>J[1453]</t>
  </si>
  <si>
    <t>I[1453]</t>
  </si>
  <si>
    <t>J[1454]</t>
  </si>
  <si>
    <t>I[1474]</t>
  </si>
  <si>
    <t>J[1423]</t>
  </si>
  <si>
    <t>I[1454]</t>
  </si>
  <si>
    <t>J[1475]</t>
  </si>
  <si>
    <t>I[1495]</t>
  </si>
  <si>
    <t>J[1496]</t>
  </si>
  <si>
    <t>I[1496]</t>
  </si>
  <si>
    <t>J[1497]</t>
  </si>
  <si>
    <t>I[1497]</t>
  </si>
  <si>
    <t>J[1498]</t>
  </si>
  <si>
    <t>I[1498]</t>
  </si>
  <si>
    <t>J[1499]</t>
  </si>
  <si>
    <t>I[1499]</t>
  </si>
  <si>
    <t>J[1500]</t>
  </si>
  <si>
    <t>I[1500]</t>
  </si>
  <si>
    <t>J[1501]</t>
  </si>
  <si>
    <t>I[1501]</t>
  </si>
  <si>
    <t>J[1502]</t>
  </si>
  <si>
    <t>I[1502]</t>
  </si>
  <si>
    <t>J[1503]</t>
  </si>
  <si>
    <t>I[1503]</t>
  </si>
  <si>
    <t>J[1504]</t>
  </si>
  <si>
    <t>I[1504]</t>
  </si>
  <si>
    <t>J[1505]</t>
  </si>
  <si>
    <t>I[1505]</t>
  </si>
  <si>
    <t>J[1506]</t>
  </si>
  <si>
    <t>I[1506]</t>
  </si>
  <si>
    <t>J[1507]</t>
  </si>
  <si>
    <t>I[1507]</t>
  </si>
  <si>
    <t>J[1508]</t>
  </si>
  <si>
    <t>I[1508]</t>
  </si>
  <si>
    <t>J[1509]</t>
  </si>
  <si>
    <t>I[1509]</t>
  </si>
  <si>
    <t>J[1510]</t>
  </si>
  <si>
    <t>I[1510]</t>
  </si>
  <si>
    <t>J[1511]</t>
  </si>
  <si>
    <t>I[1511]</t>
  </si>
  <si>
    <t>J[1512]</t>
  </si>
  <si>
    <t>I[1512]</t>
  </si>
  <si>
    <t>J[1513]</t>
  </si>
  <si>
    <t>I[1513]</t>
  </si>
  <si>
    <t>J[1514]</t>
  </si>
  <si>
    <t>I[1514]</t>
  </si>
  <si>
    <t>J[1515]</t>
  </si>
  <si>
    <t>I[1515]</t>
  </si>
  <si>
    <t>J[1516]</t>
  </si>
  <si>
    <t>I[1516]</t>
  </si>
  <si>
    <t>J[1517]</t>
  </si>
  <si>
    <t>I[1517]</t>
  </si>
  <si>
    <t>J[1518]</t>
  </si>
  <si>
    <t>I[1518]</t>
  </si>
  <si>
    <t>J[1519]</t>
  </si>
  <si>
    <t>I[1519]</t>
  </si>
  <si>
    <t>J[1520]</t>
  </si>
  <si>
    <t>I[1520]</t>
  </si>
  <si>
    <t>J[1521]</t>
  </si>
  <si>
    <t>I[1521]</t>
  </si>
  <si>
    <t>J[1522]</t>
  </si>
  <si>
    <t>I[1522]</t>
  </si>
  <si>
    <t>J[1523]</t>
  </si>
  <si>
    <t>I[1523]</t>
  </si>
  <si>
    <t>J[1524]</t>
  </si>
  <si>
    <t>I[1524]</t>
  </si>
  <si>
    <t>J[1525]</t>
  </si>
  <si>
    <t>I[1525]</t>
  </si>
  <si>
    <t>J[1526]</t>
  </si>
  <si>
    <t>I[1546]</t>
  </si>
  <si>
    <t>J[1495]</t>
  </si>
  <si>
    <t>I[1526]</t>
  </si>
  <si>
    <t>J[1547]</t>
  </si>
  <si>
    <t>I[1567]</t>
  </si>
  <si>
    <t>J[1568]</t>
  </si>
  <si>
    <t>I[1568]</t>
  </si>
  <si>
    <t>J[1569]</t>
  </si>
  <si>
    <t>I[1569]</t>
  </si>
  <si>
    <t>J[1570]</t>
  </si>
  <si>
    <t>I[1570]</t>
  </si>
  <si>
    <t>J[1571]</t>
  </si>
  <si>
    <t>I[1571]</t>
  </si>
  <si>
    <t>J[1572]</t>
  </si>
  <si>
    <t>I[1572]</t>
  </si>
  <si>
    <t>J[1573]</t>
  </si>
  <si>
    <t>I[1573]</t>
  </si>
  <si>
    <t>J[1574]</t>
  </si>
  <si>
    <t>I[1574]</t>
  </si>
  <si>
    <t>J[1575]</t>
  </si>
  <si>
    <t>I[1575]</t>
  </si>
  <si>
    <t>J[1576]</t>
  </si>
  <si>
    <t>I[1576]</t>
  </si>
  <si>
    <t>J[1577]</t>
  </si>
  <si>
    <t>I[1577]</t>
  </si>
  <si>
    <t>J[1578]</t>
  </si>
  <si>
    <t>I[1578]</t>
  </si>
  <si>
    <t>J[1579]</t>
  </si>
  <si>
    <t>I[1579]</t>
  </si>
  <si>
    <t>J[1580]</t>
  </si>
  <si>
    <t>I[1580]</t>
  </si>
  <si>
    <t>J[1581]</t>
  </si>
  <si>
    <t>I[1581]</t>
  </si>
  <si>
    <t>J[1582]</t>
  </si>
  <si>
    <t>I[1582]</t>
  </si>
  <si>
    <t>J[1583]</t>
  </si>
  <si>
    <t>I[1583]</t>
  </si>
  <si>
    <t>J[1584]</t>
  </si>
  <si>
    <t>I[1584]</t>
  </si>
  <si>
    <t>J[1585]</t>
  </si>
  <si>
    <t>I[1585]</t>
  </si>
  <si>
    <t>J[1586]</t>
  </si>
  <si>
    <t>I[1586]</t>
  </si>
  <si>
    <t>J[1587]</t>
  </si>
  <si>
    <t>I[1587]</t>
  </si>
  <si>
    <t>J[1588]</t>
  </si>
  <si>
    <t>I[1588]</t>
  </si>
  <si>
    <t>J[1589]</t>
  </si>
  <si>
    <t>I[1589]</t>
  </si>
  <si>
    <t>J[1590]</t>
  </si>
  <si>
    <t>I[1590]</t>
  </si>
  <si>
    <t>J[1591]</t>
  </si>
  <si>
    <t>I[1591]</t>
  </si>
  <si>
    <t>J[1592]</t>
  </si>
  <si>
    <t>I[1592]</t>
  </si>
  <si>
    <t>J[1593]</t>
  </si>
  <si>
    <t>I[1593]</t>
  </si>
  <si>
    <t>J[1594]</t>
  </si>
  <si>
    <t>I[1594]</t>
  </si>
  <si>
    <t>J[1595]</t>
  </si>
  <si>
    <t>I[1595]</t>
  </si>
  <si>
    <t>J[1596]</t>
  </si>
  <si>
    <t>I[1596]</t>
  </si>
  <si>
    <t>J[1597]</t>
  </si>
  <si>
    <t>I[1597]</t>
  </si>
  <si>
    <t>J[1598]</t>
  </si>
  <si>
    <t>I[1618]</t>
  </si>
  <si>
    <t>J[1567]</t>
  </si>
  <si>
    <t>I[1598]</t>
  </si>
  <si>
    <t>J[1619]</t>
  </si>
  <si>
    <t>I[1639]</t>
  </si>
  <si>
    <t>J[1640]</t>
  </si>
  <si>
    <t>I[1640]</t>
  </si>
  <si>
    <t>J[1641]</t>
  </si>
  <si>
    <t>I[1641]</t>
  </si>
  <si>
    <t>J[1642]</t>
  </si>
  <si>
    <t>I[1642]</t>
  </si>
  <si>
    <t>J[1643]</t>
  </si>
  <si>
    <t>I[1643]</t>
  </si>
  <si>
    <t>J[1644]</t>
  </si>
  <si>
    <t>I[1644]</t>
  </si>
  <si>
    <t>J[1645]</t>
  </si>
  <si>
    <t>I[1645]</t>
  </si>
  <si>
    <t>J[1646]</t>
  </si>
  <si>
    <t>I[1646]</t>
  </si>
  <si>
    <t>J[1647]</t>
  </si>
  <si>
    <t>I[1647]</t>
  </si>
  <si>
    <t>J[1648]</t>
  </si>
  <si>
    <t>I[1648]</t>
  </si>
  <si>
    <t>J[1649]</t>
  </si>
  <si>
    <t>I[1649]</t>
  </si>
  <si>
    <t>J[1650]</t>
  </si>
  <si>
    <t>I[1650]</t>
  </si>
  <si>
    <t>J[1651]</t>
  </si>
  <si>
    <t>I[1651]</t>
  </si>
  <si>
    <t>J[1652]</t>
  </si>
  <si>
    <t>I[1652]</t>
  </si>
  <si>
    <t>J[1653]</t>
  </si>
  <si>
    <t>I[1653]</t>
  </si>
  <si>
    <t>J[1654]</t>
  </si>
  <si>
    <t>I[1654]</t>
  </si>
  <si>
    <t>J[1655]</t>
  </si>
  <si>
    <t>I[1655]</t>
  </si>
  <si>
    <t>J[1656]</t>
  </si>
  <si>
    <t>I[1656]</t>
  </si>
  <si>
    <t>J[1657]</t>
  </si>
  <si>
    <t>I[1657]</t>
  </si>
  <si>
    <t>J[1658]</t>
  </si>
  <si>
    <t>I[1658]</t>
  </si>
  <si>
    <t>J[1659]</t>
  </si>
  <si>
    <t>I[1659]</t>
  </si>
  <si>
    <t>J[1660]</t>
  </si>
  <si>
    <t>I[1660]</t>
  </si>
  <si>
    <t>J[1661]</t>
  </si>
  <si>
    <t>I[1661]</t>
  </si>
  <si>
    <t>J[1662]</t>
  </si>
  <si>
    <t>I[1662]</t>
  </si>
  <si>
    <t>J[1663]</t>
  </si>
  <si>
    <t>I[1663]</t>
  </si>
  <si>
    <t>J[1664]</t>
  </si>
  <si>
    <t>I[1664]</t>
  </si>
  <si>
    <t>J[1665]</t>
  </si>
  <si>
    <t>I[1665]</t>
  </si>
  <si>
    <t>J[1666]</t>
  </si>
  <si>
    <t>I[1666]</t>
  </si>
  <si>
    <t>J[1667]</t>
  </si>
  <si>
    <t>I[1667]</t>
  </si>
  <si>
    <t>J[1668]</t>
  </si>
  <si>
    <t>I[1668]</t>
  </si>
  <si>
    <t>J[1669]</t>
  </si>
  <si>
    <t>I[1669]</t>
  </si>
  <si>
    <t>J[1670]</t>
  </si>
  <si>
    <t>I[1690]</t>
  </si>
  <si>
    <t>J[1639]</t>
  </si>
  <si>
    <t>I[1670]</t>
  </si>
  <si>
    <t>J[1691]</t>
  </si>
  <si>
    <t>I[1711]</t>
  </si>
  <si>
    <t>J[1712]</t>
  </si>
  <si>
    <t>I[1712]</t>
  </si>
  <si>
    <t>J[1713]</t>
  </si>
  <si>
    <t>I[1713]</t>
  </si>
  <si>
    <t>J[1714]</t>
  </si>
  <si>
    <t>I[1714]</t>
  </si>
  <si>
    <t>J[1715]</t>
  </si>
  <si>
    <t>I[1715]</t>
  </si>
  <si>
    <t>J[1716]</t>
  </si>
  <si>
    <t>I[1716]</t>
  </si>
  <si>
    <t>J[1717]</t>
  </si>
  <si>
    <t>I[1717]</t>
  </si>
  <si>
    <t>J[1718]</t>
  </si>
  <si>
    <t>I[1718]</t>
  </si>
  <si>
    <t>J[1719]</t>
  </si>
  <si>
    <t>I[1719]</t>
  </si>
  <si>
    <t>J[1720]</t>
  </si>
  <si>
    <t>I[1720]</t>
  </si>
  <si>
    <t>J[1721]</t>
  </si>
  <si>
    <t>I[1721]</t>
  </si>
  <si>
    <t>J[1722]</t>
  </si>
  <si>
    <t>I[1722]</t>
  </si>
  <si>
    <t>J[1723]</t>
  </si>
  <si>
    <t>I[1723]</t>
  </si>
  <si>
    <t>J[1724]</t>
  </si>
  <si>
    <t>I[1724]</t>
  </si>
  <si>
    <t>J[1725]</t>
  </si>
  <si>
    <t>I[1725]</t>
  </si>
  <si>
    <t>J[1726]</t>
  </si>
  <si>
    <t>I[1726]</t>
  </si>
  <si>
    <t>J[1727]</t>
  </si>
  <si>
    <t>I[1727]</t>
  </si>
  <si>
    <t>J[1728]</t>
  </si>
  <si>
    <t>I[1728]</t>
  </si>
  <si>
    <t>J[1729]</t>
  </si>
  <si>
    <t>I[1729]</t>
  </si>
  <si>
    <t>J[1730]</t>
  </si>
  <si>
    <t>I[1730]</t>
  </si>
  <si>
    <t>J[1731]</t>
  </si>
  <si>
    <t>I[1731]</t>
  </si>
  <si>
    <t>J[1732]</t>
  </si>
  <si>
    <t>I[1732]</t>
  </si>
  <si>
    <t>J[1733]</t>
  </si>
  <si>
    <t>I[1733]</t>
  </si>
  <si>
    <t>J[1734]</t>
  </si>
  <si>
    <t>I[1734]</t>
  </si>
  <si>
    <t>J[1735]</t>
  </si>
  <si>
    <t>I[1735]</t>
  </si>
  <si>
    <t>J[1736]</t>
  </si>
  <si>
    <t>I[1736]</t>
  </si>
  <si>
    <t>J[1737]</t>
  </si>
  <si>
    <t>I[1737]</t>
  </si>
  <si>
    <t>J[1738]</t>
  </si>
  <si>
    <t>I[1738]</t>
  </si>
  <si>
    <t>J[1739]</t>
  </si>
  <si>
    <t>I[1739]</t>
  </si>
  <si>
    <t>J[1740]</t>
  </si>
  <si>
    <t>I[1740]</t>
  </si>
  <si>
    <t>J[1741]</t>
  </si>
  <si>
    <t>I[1741]</t>
  </si>
  <si>
    <t>J[1742]</t>
  </si>
  <si>
    <t>I[1762]</t>
  </si>
  <si>
    <t>J[1711]</t>
  </si>
  <si>
    <t>I[1742]</t>
  </si>
  <si>
    <t>J[1763]</t>
  </si>
  <si>
    <t>I[1783]</t>
  </si>
  <si>
    <t>J[1784]</t>
  </si>
  <si>
    <t>I[1784]</t>
  </si>
  <si>
    <t>J[1785]</t>
  </si>
  <si>
    <t>I[1785]</t>
  </si>
  <si>
    <t>J[1786]</t>
  </si>
  <si>
    <t>I[1786]</t>
  </si>
  <si>
    <t>J[1787]</t>
  </si>
  <si>
    <t>I[1787]</t>
  </si>
  <si>
    <t>J[1788]</t>
  </si>
  <si>
    <t>I[1788]</t>
  </si>
  <si>
    <t>J[1789]</t>
  </si>
  <si>
    <t>I[1789]</t>
  </si>
  <si>
    <t>J[1790]</t>
  </si>
  <si>
    <t>I[1790]</t>
  </si>
  <si>
    <t>J[1791]</t>
  </si>
  <si>
    <t>I[1791]</t>
  </si>
  <si>
    <t>J[1792]</t>
  </si>
  <si>
    <t>I[1792]</t>
  </si>
  <si>
    <t>J[1793]</t>
  </si>
  <si>
    <t>I[1793]</t>
  </si>
  <si>
    <t>J[1794]</t>
  </si>
  <si>
    <t>I[1794]</t>
  </si>
  <si>
    <t>J[1795]</t>
  </si>
  <si>
    <t>I[1795]</t>
  </si>
  <si>
    <t>J[1796]</t>
  </si>
  <si>
    <t>I[1796]</t>
  </si>
  <si>
    <t>J[1797]</t>
  </si>
  <si>
    <t>I[1797]</t>
  </si>
  <si>
    <t>J[1798]</t>
  </si>
  <si>
    <t>I[1798]</t>
  </si>
  <si>
    <t>J[1799]</t>
  </si>
  <si>
    <t>I[1799]</t>
  </si>
  <si>
    <t>J[1800]</t>
  </si>
  <si>
    <t>I[1800]</t>
  </si>
  <si>
    <t>J[1801]</t>
  </si>
  <si>
    <t>I[1801]</t>
  </si>
  <si>
    <t>J[1802]</t>
  </si>
  <si>
    <t>I[1802]</t>
  </si>
  <si>
    <t>J[1803]</t>
  </si>
  <si>
    <t>I[1803]</t>
  </si>
  <si>
    <t>J[1804]</t>
  </si>
  <si>
    <t>I[1804]</t>
  </si>
  <si>
    <t>J[1805]</t>
  </si>
  <si>
    <t>I[1805]</t>
  </si>
  <si>
    <t>J[1806]</t>
  </si>
  <si>
    <t>I[1806]</t>
  </si>
  <si>
    <t>J[1807]</t>
  </si>
  <si>
    <t>I[1807]</t>
  </si>
  <si>
    <t>J[1808]</t>
  </si>
  <si>
    <t>I[1808]</t>
  </si>
  <si>
    <t>J[1809]</t>
  </si>
  <si>
    <t>I[1809]</t>
  </si>
  <si>
    <t>J[1810]</t>
  </si>
  <si>
    <t>I[1810]</t>
  </si>
  <si>
    <t>J[1811]</t>
  </si>
  <si>
    <t>I[1811]</t>
  </si>
  <si>
    <t>J[1812]</t>
  </si>
  <si>
    <t>I[1812]</t>
  </si>
  <si>
    <t>J[1813]</t>
  </si>
  <si>
    <t>I[1813]</t>
  </si>
  <si>
    <t>J[1814]</t>
  </si>
  <si>
    <t>I[1834]</t>
  </si>
  <si>
    <t>J[1783]</t>
  </si>
  <si>
    <t>I[1814]</t>
  </si>
  <si>
    <t>J[1835]</t>
  </si>
  <si>
    <t>I[1855]</t>
  </si>
  <si>
    <t>J[1856]</t>
  </si>
  <si>
    <t>I[1856]</t>
  </si>
  <si>
    <t>J[1857]</t>
  </si>
  <si>
    <t>I[1857]</t>
  </si>
  <si>
    <t>J[1858]</t>
  </si>
  <si>
    <t>I[1858]</t>
  </si>
  <si>
    <t>J[1859]</t>
  </si>
  <si>
    <t>I[1859]</t>
  </si>
  <si>
    <t>J[1860]</t>
  </si>
  <si>
    <t>I[1860]</t>
  </si>
  <si>
    <t>J[1861]</t>
  </si>
  <si>
    <t>I[1861]</t>
  </si>
  <si>
    <t>J[1862]</t>
  </si>
  <si>
    <t>I[1862]</t>
  </si>
  <si>
    <t>J[1863]</t>
  </si>
  <si>
    <t>I[1863]</t>
  </si>
  <si>
    <t>J[1864]</t>
  </si>
  <si>
    <t>I[1864]</t>
  </si>
  <si>
    <t>J[1865]</t>
  </si>
  <si>
    <t>I[1865]</t>
  </si>
  <si>
    <t>J[1866]</t>
  </si>
  <si>
    <t>I[1866]</t>
  </si>
  <si>
    <t>J[1867]</t>
  </si>
  <si>
    <t>I[1867]</t>
  </si>
  <si>
    <t>J[1868]</t>
  </si>
  <si>
    <t>I[1868]</t>
  </si>
  <si>
    <t>J[1869]</t>
  </si>
  <si>
    <t>I[1869]</t>
  </si>
  <si>
    <t>J[1870]</t>
  </si>
  <si>
    <t>I[1870]</t>
  </si>
  <si>
    <t>J[1871]</t>
  </si>
  <si>
    <t>I[1871]</t>
  </si>
  <si>
    <t>J[1872]</t>
  </si>
  <si>
    <t>I[1872]</t>
  </si>
  <si>
    <t>J[1873]</t>
  </si>
  <si>
    <t>I[1873]</t>
  </si>
  <si>
    <t>J[1874]</t>
  </si>
  <si>
    <t>I[1874]</t>
  </si>
  <si>
    <t>J[1875]</t>
  </si>
  <si>
    <t>I[1875]</t>
  </si>
  <si>
    <t>J[1876]</t>
  </si>
  <si>
    <t>I[1876]</t>
  </si>
  <si>
    <t>J[1877]</t>
  </si>
  <si>
    <t>I[1877]</t>
  </si>
  <si>
    <t>J[1878]</t>
  </si>
  <si>
    <t>I[1878]</t>
  </si>
  <si>
    <t>J[1879]</t>
  </si>
  <si>
    <t>I[1879]</t>
  </si>
  <si>
    <t>J[1880]</t>
  </si>
  <si>
    <t>I[1880]</t>
  </si>
  <si>
    <t>J[1881]</t>
  </si>
  <si>
    <t>I[1881]</t>
  </si>
  <si>
    <t>J[1882]</t>
  </si>
  <si>
    <t>I[1882]</t>
  </si>
  <si>
    <t>J[1883]</t>
  </si>
  <si>
    <t>I[1883]</t>
  </si>
  <si>
    <t>J[1884]</t>
  </si>
  <si>
    <t>I[1884]</t>
  </si>
  <si>
    <t>J[1885]</t>
  </si>
  <si>
    <t>I[1885]</t>
  </si>
  <si>
    <t>J[1886]</t>
  </si>
  <si>
    <t>I[1906]</t>
  </si>
  <si>
    <t>J[1855]</t>
  </si>
  <si>
    <t>I[1886]</t>
  </si>
  <si>
    <t>J[1907]</t>
  </si>
  <si>
    <t>d1'</t>
  </si>
  <si>
    <t>d2'</t>
  </si>
  <si>
    <t>d3'</t>
  </si>
  <si>
    <t>Tulangan bawah (s2)</t>
  </si>
  <si>
    <t>Tulangan atas (s1)</t>
  </si>
  <si>
    <t>Corrugated Steel (s3)</t>
  </si>
  <si>
    <t>I[74]</t>
  </si>
  <si>
    <t>J[73]</t>
  </si>
  <si>
    <t>I[73]</t>
  </si>
  <si>
    <t>J[72]</t>
  </si>
  <si>
    <t>I[72]</t>
  </si>
  <si>
    <t>J[71]</t>
  </si>
  <si>
    <t>I[71]</t>
  </si>
  <si>
    <t>J[70]</t>
  </si>
  <si>
    <t>I[70]</t>
  </si>
  <si>
    <t>J[69]</t>
  </si>
  <si>
    <t>I[69]</t>
  </si>
  <si>
    <t>J[68]</t>
  </si>
  <si>
    <t>I[68]</t>
  </si>
  <si>
    <t>J[67]</t>
  </si>
  <si>
    <t>I[67]</t>
  </si>
  <si>
    <t>J[66]</t>
  </si>
  <si>
    <t>I[66]</t>
  </si>
  <si>
    <t>J[65]</t>
  </si>
  <si>
    <t>I[65]</t>
  </si>
  <si>
    <t>J[64]</t>
  </si>
  <si>
    <t>I[64]</t>
  </si>
  <si>
    <t>J[63]</t>
  </si>
  <si>
    <t>I[63]</t>
  </si>
  <si>
    <t>J[62]</t>
  </si>
  <si>
    <t>I[62]</t>
  </si>
  <si>
    <t>J[61]</t>
  </si>
  <si>
    <t>I[61]</t>
  </si>
  <si>
    <t>J[60]</t>
  </si>
  <si>
    <t>I[60]</t>
  </si>
  <si>
    <t>J[59]</t>
  </si>
  <si>
    <t>I[59]</t>
  </si>
  <si>
    <t>J[58]</t>
  </si>
  <si>
    <t>I[58]</t>
  </si>
  <si>
    <t>J[57]</t>
  </si>
  <si>
    <t>I[57]</t>
  </si>
  <si>
    <t>J[56]</t>
  </si>
  <si>
    <t>I[55]</t>
  </si>
  <si>
    <t>J[54]</t>
  </si>
  <si>
    <t>I[54]</t>
  </si>
  <si>
    <t>J[53]</t>
  </si>
  <si>
    <t>I[53]</t>
  </si>
  <si>
    <t>J[52]</t>
  </si>
  <si>
    <t>I[52]</t>
  </si>
  <si>
    <t>J[51]</t>
  </si>
  <si>
    <t>I[51]</t>
  </si>
  <si>
    <t>J[50]</t>
  </si>
  <si>
    <t>I[50]</t>
  </si>
  <si>
    <t>J[49]</t>
  </si>
  <si>
    <t>I[49]</t>
  </si>
  <si>
    <t>J[48]</t>
  </si>
  <si>
    <t>I[48]</t>
  </si>
  <si>
    <t>J[47]</t>
  </si>
  <si>
    <t>I[47]</t>
  </si>
  <si>
    <t>J[46]</t>
  </si>
  <si>
    <t>I[46]</t>
  </si>
  <si>
    <t>J[45]</t>
  </si>
  <si>
    <t>I[45]</t>
  </si>
  <si>
    <t>J[44]</t>
  </si>
  <si>
    <t>I[44]</t>
  </si>
  <si>
    <t>J[43]</t>
  </si>
  <si>
    <t>I[43]</t>
  </si>
  <si>
    <t>J[42]</t>
  </si>
  <si>
    <t>I[42]</t>
  </si>
  <si>
    <t>J[41]</t>
  </si>
  <si>
    <t>I[41]</t>
  </si>
  <si>
    <t>J[40]</t>
  </si>
  <si>
    <t>I[40]</t>
  </si>
  <si>
    <t>J[39]</t>
  </si>
  <si>
    <t>I[39]</t>
  </si>
  <si>
    <t>J[38]</t>
  </si>
  <si>
    <t>I[38]</t>
  </si>
  <si>
    <t>J[37]</t>
  </si>
  <si>
    <t>I[1044]</t>
  </si>
  <si>
    <t>J[1045]</t>
  </si>
  <si>
    <t>I[1045]</t>
  </si>
  <si>
    <t>J[1046]</t>
  </si>
  <si>
    <t>I[1046]</t>
  </si>
  <si>
    <t>J[1047]</t>
  </si>
  <si>
    <t>I[1047]</t>
  </si>
  <si>
    <t>J[1048]</t>
  </si>
  <si>
    <t>I[1048]</t>
  </si>
  <si>
    <t>J[1049]</t>
  </si>
  <si>
    <t>I[1049]</t>
  </si>
  <si>
    <t>J[1050]</t>
  </si>
  <si>
    <t>I[1050]</t>
  </si>
  <si>
    <t>J[1051]</t>
  </si>
  <si>
    <t>I[1051]</t>
  </si>
  <si>
    <t>J[1052]</t>
  </si>
  <si>
    <t>I[1052]</t>
  </si>
  <si>
    <t>J[1053]</t>
  </si>
  <si>
    <t>I[1053]</t>
  </si>
  <si>
    <t>J[1054]</t>
  </si>
  <si>
    <t>I[1054]</t>
  </si>
  <si>
    <t>J[1055]</t>
  </si>
  <si>
    <t>I[1055]</t>
  </si>
  <si>
    <t>J[1056]</t>
  </si>
  <si>
    <t>I[1056]</t>
  </si>
  <si>
    <t>J[1057]</t>
  </si>
  <si>
    <t>I[1057]</t>
  </si>
  <si>
    <t>J[1058]</t>
  </si>
  <si>
    <t>I[1058]</t>
  </si>
  <si>
    <t>J[1059]</t>
  </si>
  <si>
    <t>I[1059]</t>
  </si>
  <si>
    <t>J[1060]</t>
  </si>
  <si>
    <t>I[1060]</t>
  </si>
  <si>
    <t>J[1061]</t>
  </si>
  <si>
    <t>I[1061]</t>
  </si>
  <si>
    <t>J[1062]</t>
  </si>
  <si>
    <t>I[1095]</t>
  </si>
  <si>
    <t>J[1096]</t>
  </si>
  <si>
    <t>I[1096]</t>
  </si>
  <si>
    <t>J[1097]</t>
  </si>
  <si>
    <t>I[1097]</t>
  </si>
  <si>
    <t>J[1098]</t>
  </si>
  <si>
    <t>I[1098]</t>
  </si>
  <si>
    <t>J[1099]</t>
  </si>
  <si>
    <t>I[1099]</t>
  </si>
  <si>
    <t>J[1100]</t>
  </si>
  <si>
    <t>I[1100]</t>
  </si>
  <si>
    <t>J[1101]</t>
  </si>
  <si>
    <t>I[1101]</t>
  </si>
  <si>
    <t>J[1102]</t>
  </si>
  <si>
    <t>I[1102]</t>
  </si>
  <si>
    <t>J[1103]</t>
  </si>
  <si>
    <t>I[1103]</t>
  </si>
  <si>
    <t>J[1104]</t>
  </si>
  <si>
    <t>I[1104]</t>
  </si>
  <si>
    <t>J[1105]</t>
  </si>
  <si>
    <t>I[1105]</t>
  </si>
  <si>
    <t>J[1106]</t>
  </si>
  <si>
    <t>I[1106]</t>
  </si>
  <si>
    <t>J[1107]</t>
  </si>
  <si>
    <t>I[1107]</t>
  </si>
  <si>
    <t>J[1108]</t>
  </si>
  <si>
    <t>I[1108]</t>
  </si>
  <si>
    <t>J[1109]</t>
  </si>
  <si>
    <t>I[1109]</t>
  </si>
  <si>
    <t>J[1110]</t>
  </si>
  <si>
    <t>I[1110]</t>
  </si>
  <si>
    <t>J[1111]</t>
  </si>
  <si>
    <t>I[1111]</t>
  </si>
  <si>
    <t>J[1112]</t>
  </si>
  <si>
    <t>I[1112]</t>
  </si>
  <si>
    <t>J[1113]</t>
  </si>
  <si>
    <t>I[1116]</t>
  </si>
  <si>
    <t>J[1117]</t>
  </si>
  <si>
    <t>I[1117]</t>
  </si>
  <si>
    <t>J[1118]</t>
  </si>
  <si>
    <t>I[1118]</t>
  </si>
  <si>
    <t>J[1119]</t>
  </si>
  <si>
    <t>I[1119]</t>
  </si>
  <si>
    <t>J[1120]</t>
  </si>
  <si>
    <t>I[1120]</t>
  </si>
  <si>
    <t>J[1121]</t>
  </si>
  <si>
    <t>I[1121]</t>
  </si>
  <si>
    <t>J[1122]</t>
  </si>
  <si>
    <t>I[1122]</t>
  </si>
  <si>
    <t>J[1123]</t>
  </si>
  <si>
    <t>I[1123]</t>
  </si>
  <si>
    <t>J[1124]</t>
  </si>
  <si>
    <t>I[1124]</t>
  </si>
  <si>
    <t>J[1125]</t>
  </si>
  <si>
    <t>I[1125]</t>
  </si>
  <si>
    <t>J[1126]</t>
  </si>
  <si>
    <t>I[1126]</t>
  </si>
  <si>
    <t>J[1127]</t>
  </si>
  <si>
    <t>I[1127]</t>
  </si>
  <si>
    <t>J[1128]</t>
  </si>
  <si>
    <t>I[1128]</t>
  </si>
  <si>
    <t>J[1129]</t>
  </si>
  <si>
    <t>I[1129]</t>
  </si>
  <si>
    <t>J[1130]</t>
  </si>
  <si>
    <t>I[1130]</t>
  </si>
  <si>
    <t>J[1131]</t>
  </si>
  <si>
    <t>I[1131]</t>
  </si>
  <si>
    <t>J[1132]</t>
  </si>
  <si>
    <t>I[1132]</t>
  </si>
  <si>
    <t>J[1133]</t>
  </si>
  <si>
    <t>I[1133]</t>
  </si>
  <si>
    <t>J[1134]</t>
  </si>
  <si>
    <t>I[1167]</t>
  </si>
  <si>
    <t>J[1168]</t>
  </si>
  <si>
    <t>I[1168]</t>
  </si>
  <si>
    <t>J[1169]</t>
  </si>
  <si>
    <t>I[1169]</t>
  </si>
  <si>
    <t>J[1170]</t>
  </si>
  <si>
    <t>I[1170]</t>
  </si>
  <si>
    <t>J[1171]</t>
  </si>
  <si>
    <t>I[1171]</t>
  </si>
  <si>
    <t>J[1172]</t>
  </si>
  <si>
    <t>I[1172]</t>
  </si>
  <si>
    <t>J[1173]</t>
  </si>
  <si>
    <t>I[1173]</t>
  </si>
  <si>
    <t>J[1174]</t>
  </si>
  <si>
    <t>I[1174]</t>
  </si>
  <si>
    <t>J[1175]</t>
  </si>
  <si>
    <t>I[1175]</t>
  </si>
  <si>
    <t>J[1176]</t>
  </si>
  <si>
    <t>I[1176]</t>
  </si>
  <si>
    <t>J[1177]</t>
  </si>
  <si>
    <t>I[1177]</t>
  </si>
  <si>
    <t>J[1178]</t>
  </si>
  <si>
    <t>I[1178]</t>
  </si>
  <si>
    <t>J[1179]</t>
  </si>
  <si>
    <t>I[1179]</t>
  </si>
  <si>
    <t>J[1180]</t>
  </si>
  <si>
    <t>I[1180]</t>
  </si>
  <si>
    <t>J[1181]</t>
  </si>
  <si>
    <t>I[1181]</t>
  </si>
  <si>
    <t>J[1182]</t>
  </si>
  <si>
    <t>I[1182]</t>
  </si>
  <si>
    <t>J[1183]</t>
  </si>
  <si>
    <t>I[1183]</t>
  </si>
  <si>
    <t>J[1184]</t>
  </si>
  <si>
    <t>I[1184]</t>
  </si>
  <si>
    <t>J[1185]</t>
  </si>
  <si>
    <t>I[1188]</t>
  </si>
  <si>
    <t>J[1189]</t>
  </si>
  <si>
    <t>I[1189]</t>
  </si>
  <si>
    <t>J[1190]</t>
  </si>
  <si>
    <t>I[1190]</t>
  </si>
  <si>
    <t>J[1191]</t>
  </si>
  <si>
    <t>I[1191]</t>
  </si>
  <si>
    <t>J[1192]</t>
  </si>
  <si>
    <t>I[1192]</t>
  </si>
  <si>
    <t>J[1193]</t>
  </si>
  <si>
    <t>I[1193]</t>
  </si>
  <si>
    <t>J[1194]</t>
  </si>
  <si>
    <t>I[1194]</t>
  </si>
  <si>
    <t>J[1195]</t>
  </si>
  <si>
    <t>I[1195]</t>
  </si>
  <si>
    <t>J[1196]</t>
  </si>
  <si>
    <t>I[1196]</t>
  </si>
  <si>
    <t>J[1197]</t>
  </si>
  <si>
    <t>I[1197]</t>
  </si>
  <si>
    <t>J[1198]</t>
  </si>
  <si>
    <t>I[1198]</t>
  </si>
  <si>
    <t>J[1199]</t>
  </si>
  <si>
    <t>I[1199]</t>
  </si>
  <si>
    <t>J[1200]</t>
  </si>
  <si>
    <t>I[1200]</t>
  </si>
  <si>
    <t>J[1201]</t>
  </si>
  <si>
    <t>I[1201]</t>
  </si>
  <si>
    <t>J[1202]</t>
  </si>
  <si>
    <t>I[1202]</t>
  </si>
  <si>
    <t>J[1203]</t>
  </si>
  <si>
    <t>I[1203]</t>
  </si>
  <si>
    <t>J[1204]</t>
  </si>
  <si>
    <t>I[1204]</t>
  </si>
  <si>
    <t>J[1205]</t>
  </si>
  <si>
    <t>I[1205]</t>
  </si>
  <si>
    <t>J[1206]</t>
  </si>
  <si>
    <t>I[1239]</t>
  </si>
  <si>
    <t>J[1240]</t>
  </si>
  <si>
    <t>I[1240]</t>
  </si>
  <si>
    <t>J[1241]</t>
  </si>
  <si>
    <t>I[1241]</t>
  </si>
  <si>
    <t>J[1242]</t>
  </si>
  <si>
    <t>I[1242]</t>
  </si>
  <si>
    <t>J[1243]</t>
  </si>
  <si>
    <t>I[1243]</t>
  </si>
  <si>
    <t>J[1244]</t>
  </si>
  <si>
    <t>I[1244]</t>
  </si>
  <si>
    <t>J[1245]</t>
  </si>
  <si>
    <t>I[1245]</t>
  </si>
  <si>
    <t>J[1246]</t>
  </si>
  <si>
    <t>I[1246]</t>
  </si>
  <si>
    <t>J[1247]</t>
  </si>
  <si>
    <t>I[1247]</t>
  </si>
  <si>
    <t>J[1248]</t>
  </si>
  <si>
    <t>I[1248]</t>
  </si>
  <si>
    <t>J[1249]</t>
  </si>
  <si>
    <t>I[1249]</t>
  </si>
  <si>
    <t>J[1250]</t>
  </si>
  <si>
    <t>I[1250]</t>
  </si>
  <si>
    <t>J[1251]</t>
  </si>
  <si>
    <t>I[1251]</t>
  </si>
  <si>
    <t>J[1252]</t>
  </si>
  <si>
    <t>I[1252]</t>
  </si>
  <si>
    <t>J[1253]</t>
  </si>
  <si>
    <t>I[1253]</t>
  </si>
  <si>
    <t>J[1254]</t>
  </si>
  <si>
    <t>I[1254]</t>
  </si>
  <si>
    <t>J[1255]</t>
  </si>
  <si>
    <t>I[1255]</t>
  </si>
  <si>
    <t>J[1256]</t>
  </si>
  <si>
    <t>I[1256]</t>
  </si>
  <si>
    <t>J[1257]</t>
  </si>
  <si>
    <t>I[1260]</t>
  </si>
  <si>
    <t>J[1261]</t>
  </si>
  <si>
    <t>I[1261]</t>
  </si>
  <si>
    <t>J[1262]</t>
  </si>
  <si>
    <t>I[1262]</t>
  </si>
  <si>
    <t>J[1263]</t>
  </si>
  <si>
    <t>I[1263]</t>
  </si>
  <si>
    <t>J[1264]</t>
  </si>
  <si>
    <t>I[1264]</t>
  </si>
  <si>
    <t>J[1265]</t>
  </si>
  <si>
    <t>I[1265]</t>
  </si>
  <si>
    <t>J[1266]</t>
  </si>
  <si>
    <t>I[1266]</t>
  </si>
  <si>
    <t>J[1267]</t>
  </si>
  <si>
    <t>I[1267]</t>
  </si>
  <si>
    <t>J[1268]</t>
  </si>
  <si>
    <t>I[1268]</t>
  </si>
  <si>
    <t>J[1269]</t>
  </si>
  <si>
    <t>I[1269]</t>
  </si>
  <si>
    <t>J[1270]</t>
  </si>
  <si>
    <t>I[1270]</t>
  </si>
  <si>
    <t>J[1271]</t>
  </si>
  <si>
    <t>I[1271]</t>
  </si>
  <si>
    <t>J[1272]</t>
  </si>
  <si>
    <t>I[1272]</t>
  </si>
  <si>
    <t>J[1273]</t>
  </si>
  <si>
    <t>I[1273]</t>
  </si>
  <si>
    <t>J[1274]</t>
  </si>
  <si>
    <t>I[1274]</t>
  </si>
  <si>
    <t>J[1275]</t>
  </si>
  <si>
    <t>I[1275]</t>
  </si>
  <si>
    <t>J[1276]</t>
  </si>
  <si>
    <t>I[1276]</t>
  </si>
  <si>
    <t>J[1277]</t>
  </si>
  <si>
    <t>I[1277]</t>
  </si>
  <si>
    <t>J[1278]</t>
  </si>
  <si>
    <t>I[1311]</t>
  </si>
  <si>
    <t>J[1312]</t>
  </si>
  <si>
    <t>I[1312]</t>
  </si>
  <si>
    <t>J[1313]</t>
  </si>
  <si>
    <t>I[1313]</t>
  </si>
  <si>
    <t>J[1314]</t>
  </si>
  <si>
    <t>I[1314]</t>
  </si>
  <si>
    <t>J[1315]</t>
  </si>
  <si>
    <t>I[1315]</t>
  </si>
  <si>
    <t>J[1316]</t>
  </si>
  <si>
    <t>I[1316]</t>
  </si>
  <si>
    <t>J[1317]</t>
  </si>
  <si>
    <t>I[1317]</t>
  </si>
  <si>
    <t>J[1318]</t>
  </si>
  <si>
    <t>I[1318]</t>
  </si>
  <si>
    <t>J[1319]</t>
  </si>
  <si>
    <t>I[1319]</t>
  </si>
  <si>
    <t>J[1320]</t>
  </si>
  <si>
    <t>I[1320]</t>
  </si>
  <si>
    <t>J[1321]</t>
  </si>
  <si>
    <t>I[1321]</t>
  </si>
  <si>
    <t>J[1322]</t>
  </si>
  <si>
    <t>I[1322]</t>
  </si>
  <si>
    <t>J[1323]</t>
  </si>
  <si>
    <t>I[1323]</t>
  </si>
  <si>
    <t>J[1324]</t>
  </si>
  <si>
    <t>I[1324]</t>
  </si>
  <si>
    <t>J[1325]</t>
  </si>
  <si>
    <t>I[1325]</t>
  </si>
  <si>
    <t>J[1326]</t>
  </si>
  <si>
    <t>I[1326]</t>
  </si>
  <si>
    <t>J[1327]</t>
  </si>
  <si>
    <t>I[1327]</t>
  </si>
  <si>
    <t>J[1328]</t>
  </si>
  <si>
    <t>I[1328]</t>
  </si>
  <si>
    <t>J[1329]</t>
  </si>
  <si>
    <t>I[1332]</t>
  </si>
  <si>
    <t>J[1333]</t>
  </si>
  <si>
    <t>I[1333]</t>
  </si>
  <si>
    <t>J[1334]</t>
  </si>
  <si>
    <t>I[1334]</t>
  </si>
  <si>
    <t>J[1335]</t>
  </si>
  <si>
    <t>I[1335]</t>
  </si>
  <si>
    <t>J[1336]</t>
  </si>
  <si>
    <t>I[1336]</t>
  </si>
  <si>
    <t>J[1337]</t>
  </si>
  <si>
    <t>I[1337]</t>
  </si>
  <si>
    <t>J[1338]</t>
  </si>
  <si>
    <t>I[1338]</t>
  </si>
  <si>
    <t>J[1339]</t>
  </si>
  <si>
    <t>I[1339]</t>
  </si>
  <si>
    <t>J[1340]</t>
  </si>
  <si>
    <t>I[1340]</t>
  </si>
  <si>
    <t>J[1341]</t>
  </si>
  <si>
    <t>I[1341]</t>
  </si>
  <si>
    <t>J[1342]</t>
  </si>
  <si>
    <t>I[1342]</t>
  </si>
  <si>
    <t>J[1343]</t>
  </si>
  <si>
    <t>I[1343]</t>
  </si>
  <si>
    <t>J[1344]</t>
  </si>
  <si>
    <t>I[1344]</t>
  </si>
  <si>
    <t>J[1345]</t>
  </si>
  <si>
    <t>I[1345]</t>
  </si>
  <si>
    <t>J[1346]</t>
  </si>
  <si>
    <t>I[1346]</t>
  </si>
  <si>
    <t>J[1347]</t>
  </si>
  <si>
    <t>I[1347]</t>
  </si>
  <si>
    <t>J[1348]</t>
  </si>
  <si>
    <t>I[1348]</t>
  </si>
  <si>
    <t>J[1349]</t>
  </si>
  <si>
    <t>I[1349]</t>
  </si>
  <si>
    <t>J[1350]</t>
  </si>
  <si>
    <t>I[1383]</t>
  </si>
  <si>
    <t>J[1384]</t>
  </si>
  <si>
    <t>I[1384]</t>
  </si>
  <si>
    <t>J[1385]</t>
  </si>
  <si>
    <t>I[1385]</t>
  </si>
  <si>
    <t>J[1386]</t>
  </si>
  <si>
    <t>I[1386]</t>
  </si>
  <si>
    <t>J[1387]</t>
  </si>
  <si>
    <t>I[1387]</t>
  </si>
  <si>
    <t>J[1388]</t>
  </si>
  <si>
    <t>I[1388]</t>
  </si>
  <si>
    <t>J[1389]</t>
  </si>
  <si>
    <t>I[1389]</t>
  </si>
  <si>
    <t>J[1390]</t>
  </si>
  <si>
    <t>I[1390]</t>
  </si>
  <si>
    <t>J[1391]</t>
  </si>
  <si>
    <t>I[1391]</t>
  </si>
  <si>
    <t>J[1392]</t>
  </si>
  <si>
    <t>I[1392]</t>
  </si>
  <si>
    <t>J[1393]</t>
  </si>
  <si>
    <t>I[1393]</t>
  </si>
  <si>
    <t>J[1394]</t>
  </si>
  <si>
    <t>I[1394]</t>
  </si>
  <si>
    <t>J[1395]</t>
  </si>
  <si>
    <t>I[1395]</t>
  </si>
  <si>
    <t>J[1396]</t>
  </si>
  <si>
    <t>I[1396]</t>
  </si>
  <si>
    <t>J[1397]</t>
  </si>
  <si>
    <t>I[1397]</t>
  </si>
  <si>
    <t>J[1398]</t>
  </si>
  <si>
    <t>I[1398]</t>
  </si>
  <si>
    <t>J[1399]</t>
  </si>
  <si>
    <t>I[1399]</t>
  </si>
  <si>
    <t>J[1400]</t>
  </si>
  <si>
    <t>I[1400]</t>
  </si>
  <si>
    <t>J[1401]</t>
  </si>
  <si>
    <t>I[1404]</t>
  </si>
  <si>
    <t>J[1405]</t>
  </si>
  <si>
    <t>I[1405]</t>
  </si>
  <si>
    <t>J[1406]</t>
  </si>
  <si>
    <t>I[1406]</t>
  </si>
  <si>
    <t>J[1407]</t>
  </si>
  <si>
    <t>I[1407]</t>
  </si>
  <si>
    <t>J[1408]</t>
  </si>
  <si>
    <t>I[1408]</t>
  </si>
  <si>
    <t>J[1409]</t>
  </si>
  <si>
    <t>I[1409]</t>
  </si>
  <si>
    <t>J[1410]</t>
  </si>
  <si>
    <t>I[1410]</t>
  </si>
  <si>
    <t>J[1411]</t>
  </si>
  <si>
    <t>I[1411]</t>
  </si>
  <si>
    <t>J[1412]</t>
  </si>
  <si>
    <t>I[1412]</t>
  </si>
  <si>
    <t>J[1413]</t>
  </si>
  <si>
    <t>I[1413]</t>
  </si>
  <si>
    <t>J[1414]</t>
  </si>
  <si>
    <t>I[1414]</t>
  </si>
  <si>
    <t>J[1415]</t>
  </si>
  <si>
    <t>I[1415]</t>
  </si>
  <si>
    <t>J[1416]</t>
  </si>
  <si>
    <t>I[1416]</t>
  </si>
  <si>
    <t>J[1417]</t>
  </si>
  <si>
    <t>I[1417]</t>
  </si>
  <si>
    <t>J[1418]</t>
  </si>
  <si>
    <t>I[1418]</t>
  </si>
  <si>
    <t>J[1419]</t>
  </si>
  <si>
    <t>I[1419]</t>
  </si>
  <si>
    <t>J[1420]</t>
  </si>
  <si>
    <t>I[1420]</t>
  </si>
  <si>
    <t>J[1421]</t>
  </si>
  <si>
    <t>I[1421]</t>
  </si>
  <si>
    <t>J[1422]</t>
  </si>
  <si>
    <t>I[1455]</t>
  </si>
  <si>
    <t>J[1456]</t>
  </si>
  <si>
    <t>I[1456]</t>
  </si>
  <si>
    <t>J[1457]</t>
  </si>
  <si>
    <t>I[1457]</t>
  </si>
  <si>
    <t>J[1458]</t>
  </si>
  <si>
    <t>I[1458]</t>
  </si>
  <si>
    <t>J[1459]</t>
  </si>
  <si>
    <t>I[1459]</t>
  </si>
  <si>
    <t>J[1460]</t>
  </si>
  <si>
    <t>I[1460]</t>
  </si>
  <si>
    <t>J[1461]</t>
  </si>
  <si>
    <t>I[1461]</t>
  </si>
  <si>
    <t>J[1462]</t>
  </si>
  <si>
    <t>I[1462]</t>
  </si>
  <si>
    <t>J[1463]</t>
  </si>
  <si>
    <t>I[1463]</t>
  </si>
  <si>
    <t>J[1464]</t>
  </si>
  <si>
    <t>I[1464]</t>
  </si>
  <si>
    <t>J[1465]</t>
  </si>
  <si>
    <t>I[1465]</t>
  </si>
  <si>
    <t>J[1466]</t>
  </si>
  <si>
    <t>I[1466]</t>
  </si>
  <si>
    <t>J[1467]</t>
  </si>
  <si>
    <t>I[1467]</t>
  </si>
  <si>
    <t>J[1468]</t>
  </si>
  <si>
    <t>I[1468]</t>
  </si>
  <si>
    <t>J[1469]</t>
  </si>
  <si>
    <t>I[1469]</t>
  </si>
  <si>
    <t>J[1470]</t>
  </si>
  <si>
    <t>I[1470]</t>
  </si>
  <si>
    <t>J[1471]</t>
  </si>
  <si>
    <t>I[1471]</t>
  </si>
  <si>
    <t>J[1472]</t>
  </si>
  <si>
    <t>I[1472]</t>
  </si>
  <si>
    <t>J[1473]</t>
  </si>
  <si>
    <t>I[1476]</t>
  </si>
  <si>
    <t>J[1477]</t>
  </si>
  <si>
    <t>I[1477]</t>
  </si>
  <si>
    <t>J[1478]</t>
  </si>
  <si>
    <t>I[1478]</t>
  </si>
  <si>
    <t>J[1479]</t>
  </si>
  <si>
    <t>I[1479]</t>
  </si>
  <si>
    <t>J[1480]</t>
  </si>
  <si>
    <t>I[1480]</t>
  </si>
  <si>
    <t>J[1481]</t>
  </si>
  <si>
    <t>I[1481]</t>
  </si>
  <si>
    <t>J[1482]</t>
  </si>
  <si>
    <t>I[1482]</t>
  </si>
  <si>
    <t>J[1483]</t>
  </si>
  <si>
    <t>I[1483]</t>
  </si>
  <si>
    <t>J[1484]</t>
  </si>
  <si>
    <t>I[1484]</t>
  </si>
  <si>
    <t>J[1485]</t>
  </si>
  <si>
    <t>I[1485]</t>
  </si>
  <si>
    <t>J[1486]</t>
  </si>
  <si>
    <t>I[1486]</t>
  </si>
  <si>
    <t>J[1487]</t>
  </si>
  <si>
    <t>I[1487]</t>
  </si>
  <si>
    <t>J[1488]</t>
  </si>
  <si>
    <t>I[1488]</t>
  </si>
  <si>
    <t>J[1489]</t>
  </si>
  <si>
    <t>I[1489]</t>
  </si>
  <si>
    <t>J[1490]</t>
  </si>
  <si>
    <t>I[1490]</t>
  </si>
  <si>
    <t>J[1491]</t>
  </si>
  <si>
    <t>I[1491]</t>
  </si>
  <si>
    <t>J[1492]</t>
  </si>
  <si>
    <t>I[1492]</t>
  </si>
  <si>
    <t>J[1493]</t>
  </si>
  <si>
    <t>I[1493]</t>
  </si>
  <si>
    <t>J[1494]</t>
  </si>
  <si>
    <t>I[1527]</t>
  </si>
  <si>
    <t>J[1528]</t>
  </si>
  <si>
    <t>I[1528]</t>
  </si>
  <si>
    <t>J[1529]</t>
  </si>
  <si>
    <t>I[1529]</t>
  </si>
  <si>
    <t>J[1530]</t>
  </si>
  <si>
    <t>I[1530]</t>
  </si>
  <si>
    <t>J[1531]</t>
  </si>
  <si>
    <t>I[1531]</t>
  </si>
  <si>
    <t>J[1532]</t>
  </si>
  <si>
    <t>I[1532]</t>
  </si>
  <si>
    <t>J[1533]</t>
  </si>
  <si>
    <t>I[1533]</t>
  </si>
  <si>
    <t>J[1534]</t>
  </si>
  <si>
    <t>I[1534]</t>
  </si>
  <si>
    <t>J[1535]</t>
  </si>
  <si>
    <t>I[1535]</t>
  </si>
  <si>
    <t>J[1536]</t>
  </si>
  <si>
    <t>I[1536]</t>
  </si>
  <si>
    <t>J[1537]</t>
  </si>
  <si>
    <t>I[1537]</t>
  </si>
  <si>
    <t>J[1538]</t>
  </si>
  <si>
    <t>I[1538]</t>
  </si>
  <si>
    <t>J[1539]</t>
  </si>
  <si>
    <t>I[1539]</t>
  </si>
  <si>
    <t>J[1540]</t>
  </si>
  <si>
    <t>I[1540]</t>
  </si>
  <si>
    <t>J[1541]</t>
  </si>
  <si>
    <t>I[1541]</t>
  </si>
  <si>
    <t>J[1542]</t>
  </si>
  <si>
    <t>I[1542]</t>
  </si>
  <si>
    <t>J[1543]</t>
  </si>
  <si>
    <t>I[1543]</t>
  </si>
  <si>
    <t>J[1544]</t>
  </si>
  <si>
    <t>I[1544]</t>
  </si>
  <si>
    <t>J[1545]</t>
  </si>
  <si>
    <t>I[1548]</t>
  </si>
  <si>
    <t>J[1549]</t>
  </si>
  <si>
    <t>I[1549]</t>
  </si>
  <si>
    <t>J[1550]</t>
  </si>
  <si>
    <t>I[1550]</t>
  </si>
  <si>
    <t>J[1551]</t>
  </si>
  <si>
    <t>I[1551]</t>
  </si>
  <si>
    <t>J[1552]</t>
  </si>
  <si>
    <t>I[1552]</t>
  </si>
  <si>
    <t>J[1553]</t>
  </si>
  <si>
    <t>I[1553]</t>
  </si>
  <si>
    <t>J[1554]</t>
  </si>
  <si>
    <t>I[1554]</t>
  </si>
  <si>
    <t>J[1555]</t>
  </si>
  <si>
    <t>I[1555]</t>
  </si>
  <si>
    <t>J[1556]</t>
  </si>
  <si>
    <t>I[1556]</t>
  </si>
  <si>
    <t>J[1557]</t>
  </si>
  <si>
    <t>I[1557]</t>
  </si>
  <si>
    <t>J[1558]</t>
  </si>
  <si>
    <t>I[1558]</t>
  </si>
  <si>
    <t>J[1559]</t>
  </si>
  <si>
    <t>I[1559]</t>
  </si>
  <si>
    <t>J[1560]</t>
  </si>
  <si>
    <t>I[1560]</t>
  </si>
  <si>
    <t>J[1561]</t>
  </si>
  <si>
    <t>I[1561]</t>
  </si>
  <si>
    <t>J[1562]</t>
  </si>
  <si>
    <t>I[1562]</t>
  </si>
  <si>
    <t>J[1563]</t>
  </si>
  <si>
    <t>I[1563]</t>
  </si>
  <si>
    <t>J[1564]</t>
  </si>
  <si>
    <t>I[1564]</t>
  </si>
  <si>
    <t>J[1565]</t>
  </si>
  <si>
    <t>I[1565]</t>
  </si>
  <si>
    <t>J[1566]</t>
  </si>
  <si>
    <t>I[1599]</t>
  </si>
  <si>
    <t>J[1600]</t>
  </si>
  <si>
    <t>I[1600]</t>
  </si>
  <si>
    <t>J[1601]</t>
  </si>
  <si>
    <t>I[1601]</t>
  </si>
  <si>
    <t>J[1602]</t>
  </si>
  <si>
    <t>I[1602]</t>
  </si>
  <si>
    <t>J[1603]</t>
  </si>
  <si>
    <t>I[1603]</t>
  </si>
  <si>
    <t>J[1604]</t>
  </si>
  <si>
    <t>I[1604]</t>
  </si>
  <si>
    <t>J[1605]</t>
  </si>
  <si>
    <t>I[1605]</t>
  </si>
  <si>
    <t>J[1606]</t>
  </si>
  <si>
    <t>I[1606]</t>
  </si>
  <si>
    <t>J[1607]</t>
  </si>
  <si>
    <t>I[1607]</t>
  </si>
  <si>
    <t>J[1608]</t>
  </si>
  <si>
    <t>I[1608]</t>
  </si>
  <si>
    <t>J[1609]</t>
  </si>
  <si>
    <t>I[1609]</t>
  </si>
  <si>
    <t>J[1610]</t>
  </si>
  <si>
    <t>I[1610]</t>
  </si>
  <si>
    <t>J[1611]</t>
  </si>
  <si>
    <t>I[1611]</t>
  </si>
  <si>
    <t>J[1612]</t>
  </si>
  <si>
    <t>I[1612]</t>
  </si>
  <si>
    <t>J[1613]</t>
  </si>
  <si>
    <t>I[1613]</t>
  </si>
  <si>
    <t>J[1614]</t>
  </si>
  <si>
    <t>I[1614]</t>
  </si>
  <si>
    <t>J[1615]</t>
  </si>
  <si>
    <t>I[1615]</t>
  </si>
  <si>
    <t>J[1616]</t>
  </si>
  <si>
    <t>I[1616]</t>
  </si>
  <si>
    <t>J[1617]</t>
  </si>
  <si>
    <t>I[1620]</t>
  </si>
  <si>
    <t>J[1621]</t>
  </si>
  <si>
    <t>I[1621]</t>
  </si>
  <si>
    <t>J[1622]</t>
  </si>
  <si>
    <t>I[1622]</t>
  </si>
  <si>
    <t>J[1623]</t>
  </si>
  <si>
    <t>I[1623]</t>
  </si>
  <si>
    <t>J[1624]</t>
  </si>
  <si>
    <t>I[1624]</t>
  </si>
  <si>
    <t>J[1625]</t>
  </si>
  <si>
    <t>I[1625]</t>
  </si>
  <si>
    <t>J[1626]</t>
  </si>
  <si>
    <t>I[1626]</t>
  </si>
  <si>
    <t>J[1627]</t>
  </si>
  <si>
    <t>I[1627]</t>
  </si>
  <si>
    <t>J[1628]</t>
  </si>
  <si>
    <t>I[1628]</t>
  </si>
  <si>
    <t>J[1629]</t>
  </si>
  <si>
    <t>I[1629]</t>
  </si>
  <si>
    <t>J[1630]</t>
  </si>
  <si>
    <t>I[1630]</t>
  </si>
  <si>
    <t>J[1631]</t>
  </si>
  <si>
    <t>I[1631]</t>
  </si>
  <si>
    <t>J[1632]</t>
  </si>
  <si>
    <t>I[1632]</t>
  </si>
  <si>
    <t>J[1633]</t>
  </si>
  <si>
    <t>I[1633]</t>
  </si>
  <si>
    <t>J[1634]</t>
  </si>
  <si>
    <t>I[1634]</t>
  </si>
  <si>
    <t>J[1635]</t>
  </si>
  <si>
    <t>I[1635]</t>
  </si>
  <si>
    <t>J[1636]</t>
  </si>
  <si>
    <t>I[1636]</t>
  </si>
  <si>
    <t>J[1637]</t>
  </si>
  <si>
    <t>I[1637]</t>
  </si>
  <si>
    <t>J[1638]</t>
  </si>
  <si>
    <t>I[1671]</t>
  </si>
  <si>
    <t>J[1672]</t>
  </si>
  <si>
    <t>I[1672]</t>
  </si>
  <si>
    <t>J[1673]</t>
  </si>
  <si>
    <t>I[1673]</t>
  </si>
  <si>
    <t>J[1674]</t>
  </si>
  <si>
    <t>I[1674]</t>
  </si>
  <si>
    <t>J[1675]</t>
  </si>
  <si>
    <t>I[1675]</t>
  </si>
  <si>
    <t>J[1676]</t>
  </si>
  <si>
    <t>I[1676]</t>
  </si>
  <si>
    <t>J[1677]</t>
  </si>
  <si>
    <t>I[1677]</t>
  </si>
  <si>
    <t>J[1678]</t>
  </si>
  <si>
    <t>I[1678]</t>
  </si>
  <si>
    <t>J[1679]</t>
  </si>
  <si>
    <t>I[1679]</t>
  </si>
  <si>
    <t>J[1680]</t>
  </si>
  <si>
    <t>I[1680]</t>
  </si>
  <si>
    <t>J[1681]</t>
  </si>
  <si>
    <t>I[1681]</t>
  </si>
  <si>
    <t>J[1682]</t>
  </si>
  <si>
    <t>I[1682]</t>
  </si>
  <si>
    <t>J[1683]</t>
  </si>
  <si>
    <t>I[1683]</t>
  </si>
  <si>
    <t>J[1684]</t>
  </si>
  <si>
    <t>I[1684]</t>
  </si>
  <si>
    <t>J[1685]</t>
  </si>
  <si>
    <t>I[1685]</t>
  </si>
  <si>
    <t>J[1686]</t>
  </si>
  <si>
    <t>I[1686]</t>
  </si>
  <si>
    <t>J[1687]</t>
  </si>
  <si>
    <t>I[1687]</t>
  </si>
  <si>
    <t>J[1688]</t>
  </si>
  <si>
    <t>I[1688]</t>
  </si>
  <si>
    <t>J[1689]</t>
  </si>
  <si>
    <t>I[1692]</t>
  </si>
  <si>
    <t>J[1693]</t>
  </si>
  <si>
    <t>I[1693]</t>
  </si>
  <si>
    <t>J[1694]</t>
  </si>
  <si>
    <t>I[1694]</t>
  </si>
  <si>
    <t>J[1695]</t>
  </si>
  <si>
    <t>I[1695]</t>
  </si>
  <si>
    <t>J[1696]</t>
  </si>
  <si>
    <t>I[1696]</t>
  </si>
  <si>
    <t>J[1697]</t>
  </si>
  <si>
    <t>I[1697]</t>
  </si>
  <si>
    <t>J[1698]</t>
  </si>
  <si>
    <t>I[1698]</t>
  </si>
  <si>
    <t>J[1699]</t>
  </si>
  <si>
    <t>I[1699]</t>
  </si>
  <si>
    <t>J[1700]</t>
  </si>
  <si>
    <t>I[1700]</t>
  </si>
  <si>
    <t>J[1701]</t>
  </si>
  <si>
    <t>I[1701]</t>
  </si>
  <si>
    <t>J[1702]</t>
  </si>
  <si>
    <t>I[1702]</t>
  </si>
  <si>
    <t>J[1703]</t>
  </si>
  <si>
    <t>I[1703]</t>
  </si>
  <si>
    <t>J[1704]</t>
  </si>
  <si>
    <t>I[1704]</t>
  </si>
  <si>
    <t>J[1705]</t>
  </si>
  <si>
    <t>I[1705]</t>
  </si>
  <si>
    <t>J[1706]</t>
  </si>
  <si>
    <t>I[1706]</t>
  </si>
  <si>
    <t>J[1707]</t>
  </si>
  <si>
    <t>I[1707]</t>
  </si>
  <si>
    <t>J[1708]</t>
  </si>
  <si>
    <t>I[1708]</t>
  </si>
  <si>
    <t>J[1709]</t>
  </si>
  <si>
    <t>I[1709]</t>
  </si>
  <si>
    <t>J[1710]</t>
  </si>
  <si>
    <t>I[1743]</t>
  </si>
  <si>
    <t>J[1744]</t>
  </si>
  <si>
    <t>I[1744]</t>
  </si>
  <si>
    <t>J[1745]</t>
  </si>
  <si>
    <t>I[1745]</t>
  </si>
  <si>
    <t>J[1746]</t>
  </si>
  <si>
    <t>I[1746]</t>
  </si>
  <si>
    <t>J[1747]</t>
  </si>
  <si>
    <t>I[1747]</t>
  </si>
  <si>
    <t>J[1748]</t>
  </si>
  <si>
    <t>I[1748]</t>
  </si>
  <si>
    <t>J[1749]</t>
  </si>
  <si>
    <t>I[1749]</t>
  </si>
  <si>
    <t>J[1750]</t>
  </si>
  <si>
    <t>I[1750]</t>
  </si>
  <si>
    <t>J[1751]</t>
  </si>
  <si>
    <t>I[1751]</t>
  </si>
  <si>
    <t>J[1752]</t>
  </si>
  <si>
    <t>I[1752]</t>
  </si>
  <si>
    <t>J[1753]</t>
  </si>
  <si>
    <t>I[1753]</t>
  </si>
  <si>
    <t>J[1754]</t>
  </si>
  <si>
    <t>I[1754]</t>
  </si>
  <si>
    <t>J[1755]</t>
  </si>
  <si>
    <t>I[1755]</t>
  </si>
  <si>
    <t>J[1756]</t>
  </si>
  <si>
    <t>I[1756]</t>
  </si>
  <si>
    <t>J[1757]</t>
  </si>
  <si>
    <t>I[1757]</t>
  </si>
  <si>
    <t>J[1758]</t>
  </si>
  <si>
    <t>I[1758]</t>
  </si>
  <si>
    <t>J[1759]</t>
  </si>
  <si>
    <t>I[1759]</t>
  </si>
  <si>
    <t>J[1760]</t>
  </si>
  <si>
    <t>I[1760]</t>
  </si>
  <si>
    <t>J[1761]</t>
  </si>
  <si>
    <t>I[1764]</t>
  </si>
  <si>
    <t>J[1765]</t>
  </si>
  <si>
    <t>I[1765]</t>
  </si>
  <si>
    <t>J[1766]</t>
  </si>
  <si>
    <t>I[1766]</t>
  </si>
  <si>
    <t>J[1767]</t>
  </si>
  <si>
    <t>I[1767]</t>
  </si>
  <si>
    <t>J[1768]</t>
  </si>
  <si>
    <t>I[1768]</t>
  </si>
  <si>
    <t>J[1769]</t>
  </si>
  <si>
    <t>I[1769]</t>
  </si>
  <si>
    <t>J[1770]</t>
  </si>
  <si>
    <t>I[1770]</t>
  </si>
  <si>
    <t>J[1771]</t>
  </si>
  <si>
    <t>I[1771]</t>
  </si>
  <si>
    <t>J[1772]</t>
  </si>
  <si>
    <t>I[1772]</t>
  </si>
  <si>
    <t>J[1773]</t>
  </si>
  <si>
    <t>I[1773]</t>
  </si>
  <si>
    <t>J[1774]</t>
  </si>
  <si>
    <t>I[1774]</t>
  </si>
  <si>
    <t>J[1775]</t>
  </si>
  <si>
    <t>I[1775]</t>
  </si>
  <si>
    <t>J[1776]</t>
  </si>
  <si>
    <t>I[1776]</t>
  </si>
  <si>
    <t>J[1777]</t>
  </si>
  <si>
    <t>I[1777]</t>
  </si>
  <si>
    <t>J[1778]</t>
  </si>
  <si>
    <t>I[1778]</t>
  </si>
  <si>
    <t>J[1779]</t>
  </si>
  <si>
    <t>I[1779]</t>
  </si>
  <si>
    <t>J[1780]</t>
  </si>
  <si>
    <t>I[1780]</t>
  </si>
  <si>
    <t>J[1781]</t>
  </si>
  <si>
    <t>I[1781]</t>
  </si>
  <si>
    <t>J[1782]</t>
  </si>
  <si>
    <t>I[1815]</t>
  </si>
  <si>
    <t>J[1816]</t>
  </si>
  <si>
    <t>I[1816]</t>
  </si>
  <si>
    <t>J[1817]</t>
  </si>
  <si>
    <t>I[1817]</t>
  </si>
  <si>
    <t>J[1818]</t>
  </si>
  <si>
    <t>I[1818]</t>
  </si>
  <si>
    <t>J[1819]</t>
  </si>
  <si>
    <t>I[1819]</t>
  </si>
  <si>
    <t>J[1820]</t>
  </si>
  <si>
    <t>I[1820]</t>
  </si>
  <si>
    <t>J[1821]</t>
  </si>
  <si>
    <t>I[1821]</t>
  </si>
  <si>
    <t>J[1822]</t>
  </si>
  <si>
    <t>I[1822]</t>
  </si>
  <si>
    <t>J[1823]</t>
  </si>
  <si>
    <t>I[1823]</t>
  </si>
  <si>
    <t>J[1824]</t>
  </si>
  <si>
    <t>I[1824]</t>
  </si>
  <si>
    <t>J[1825]</t>
  </si>
  <si>
    <t>I[1825]</t>
  </si>
  <si>
    <t>J[1826]</t>
  </si>
  <si>
    <t>I[1826]</t>
  </si>
  <si>
    <t>J[1827]</t>
  </si>
  <si>
    <t>I[1827]</t>
  </si>
  <si>
    <t>J[1828]</t>
  </si>
  <si>
    <t>I[1828]</t>
  </si>
  <si>
    <t>J[1829]</t>
  </si>
  <si>
    <t>I[1829]</t>
  </si>
  <si>
    <t>J[1830]</t>
  </si>
  <si>
    <t>I[1830]</t>
  </si>
  <si>
    <t>J[1831]</t>
  </si>
  <si>
    <t>I[1831]</t>
  </si>
  <si>
    <t>J[1832]</t>
  </si>
  <si>
    <t>I[1832]</t>
  </si>
  <si>
    <t>J[1833]</t>
  </si>
  <si>
    <t>I[1836]</t>
  </si>
  <si>
    <t>J[1837]</t>
  </si>
  <si>
    <t>I[1837]</t>
  </si>
  <si>
    <t>J[1838]</t>
  </si>
  <si>
    <t>I[1838]</t>
  </si>
  <si>
    <t>J[1839]</t>
  </si>
  <si>
    <t>I[1839]</t>
  </si>
  <si>
    <t>J[1840]</t>
  </si>
  <si>
    <t>I[1840]</t>
  </si>
  <si>
    <t>J[1841]</t>
  </si>
  <si>
    <t>I[1841]</t>
  </si>
  <si>
    <t>J[1842]</t>
  </si>
  <si>
    <t>I[1842]</t>
  </si>
  <si>
    <t>J[1843]</t>
  </si>
  <si>
    <t>I[1843]</t>
  </si>
  <si>
    <t>J[1844]</t>
  </si>
  <si>
    <t>I[1844]</t>
  </si>
  <si>
    <t>J[1845]</t>
  </si>
  <si>
    <t>I[1845]</t>
  </si>
  <si>
    <t>J[1846]</t>
  </si>
  <si>
    <t>I[1846]</t>
  </si>
  <si>
    <t>J[1847]</t>
  </si>
  <si>
    <t>I[1847]</t>
  </si>
  <si>
    <t>J[1848]</t>
  </si>
  <si>
    <t>I[1848]</t>
  </si>
  <si>
    <t>J[1849]</t>
  </si>
  <si>
    <t>I[1849]</t>
  </si>
  <si>
    <t>J[1850]</t>
  </si>
  <si>
    <t>I[1850]</t>
  </si>
  <si>
    <t>J[1851]</t>
  </si>
  <si>
    <t>I[1851]</t>
  </si>
  <si>
    <t>J[1852]</t>
  </si>
  <si>
    <t>I[1852]</t>
  </si>
  <si>
    <t>J[1853]</t>
  </si>
  <si>
    <t>I[1853]</t>
  </si>
  <si>
    <t>J[1854]</t>
  </si>
  <si>
    <t>I[1887]</t>
  </si>
  <si>
    <t>J[1888]</t>
  </si>
  <si>
    <t>I[1888]</t>
  </si>
  <si>
    <t>J[1889]</t>
  </si>
  <si>
    <t>I[1889]</t>
  </si>
  <si>
    <t>J[1890]</t>
  </si>
  <si>
    <t>I[1890]</t>
  </si>
  <si>
    <t>J[1891]</t>
  </si>
  <si>
    <t>I[1891]</t>
  </si>
  <si>
    <t>J[1892]</t>
  </si>
  <si>
    <t>I[1892]</t>
  </si>
  <si>
    <t>J[1893]</t>
  </si>
  <si>
    <t>I[1893]</t>
  </si>
  <si>
    <t>J[1894]</t>
  </si>
  <si>
    <t>I[1894]</t>
  </si>
  <si>
    <t>J[1895]</t>
  </si>
  <si>
    <t>I[1895]</t>
  </si>
  <si>
    <t>J[1896]</t>
  </si>
  <si>
    <t>I[1896]</t>
  </si>
  <si>
    <t>J[1897]</t>
  </si>
  <si>
    <t>I[1897]</t>
  </si>
  <si>
    <t>J[1898]</t>
  </si>
  <si>
    <t>I[1898]</t>
  </si>
  <si>
    <t>J[1899]</t>
  </si>
  <si>
    <t>I[1899]</t>
  </si>
  <si>
    <t>J[1900]</t>
  </si>
  <si>
    <t>I[1900]</t>
  </si>
  <si>
    <t>J[1901]</t>
  </si>
  <si>
    <t>I[1901]</t>
  </si>
  <si>
    <t>J[1902]</t>
  </si>
  <si>
    <t>I[1902]</t>
  </si>
  <si>
    <t>J[1903]</t>
  </si>
  <si>
    <t>I[1903]</t>
  </si>
  <si>
    <t>J[1904]</t>
  </si>
  <si>
    <t>I[1904]</t>
  </si>
  <si>
    <t>J[1905]</t>
  </si>
  <si>
    <t>Axial Tekan (kN)</t>
  </si>
  <si>
    <t>Mn = 0</t>
  </si>
  <si>
    <t>0.1 fc' Ag</t>
  </si>
  <si>
    <t>Mn</t>
  </si>
  <si>
    <t>Kuat Tekan-Lentur</t>
  </si>
  <si>
    <t>Terfaktor</t>
  </si>
  <si>
    <t>Desain</t>
  </si>
  <si>
    <t>Komposit</t>
  </si>
  <si>
    <t>Struktur</t>
  </si>
  <si>
    <t>P1</t>
  </si>
  <si>
    <t>P2</t>
  </si>
  <si>
    <t>σ max</t>
  </si>
  <si>
    <t>σ min</t>
  </si>
  <si>
    <t>Keterangan</t>
  </si>
  <si>
    <t>D</t>
  </si>
  <si>
    <t>r</t>
  </si>
  <si>
    <t>D/r</t>
  </si>
  <si>
    <t>Fb</t>
  </si>
  <si>
    <t>σ izin = Fc</t>
  </si>
  <si>
    <r>
      <t>δ</t>
    </r>
    <r>
      <rPr>
        <sz val="11"/>
        <color theme="1"/>
        <rFont val="Times New Roman"/>
        <family val="2"/>
        <charset val="1"/>
      </rPr>
      <t xml:space="preserve"> max</t>
    </r>
  </si>
  <si>
    <t>δ izin</t>
  </si>
  <si>
    <t>Fx- (kN)</t>
  </si>
  <si>
    <t>Fx+ (kN)</t>
  </si>
  <si>
    <t>My+ (kNm)</t>
  </si>
  <si>
    <t>My- (kNm)</t>
  </si>
  <si>
    <t>ϕVn (kN)</t>
  </si>
  <si>
    <t>Vs</t>
  </si>
  <si>
    <t>Fc'</t>
  </si>
  <si>
    <t>Fy</t>
  </si>
  <si>
    <t>Vc1</t>
  </si>
  <si>
    <r>
      <rPr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2"/>
        <charset val="1"/>
      </rPr>
      <t>w</t>
    </r>
  </si>
  <si>
    <t>Vu.d/Mu</t>
  </si>
  <si>
    <t>Vu+ (kN)</t>
  </si>
  <si>
    <t>Vu- (kN)</t>
  </si>
  <si>
    <t>Vc2</t>
  </si>
  <si>
    <t>Nu/Ag</t>
  </si>
  <si>
    <t>Perbandingan Gaya Geser Kuat I</t>
  </si>
  <si>
    <t>σ1</t>
  </si>
  <si>
    <t>σ2</t>
  </si>
  <si>
    <t>σ3</t>
  </si>
  <si>
    <t>Ket.</t>
  </si>
  <si>
    <t>Perbandingan Tegangan Beton Serat Terluar Layan I (MPa)</t>
  </si>
  <si>
    <t>Perbandingan Lendutan Layan I (mm)</t>
  </si>
  <si>
    <t>Analisis</t>
  </si>
  <si>
    <t>Perencanaan</t>
  </si>
  <si>
    <t>σ izin</t>
  </si>
  <si>
    <t>FX</t>
  </si>
  <si>
    <t>MY</t>
  </si>
  <si>
    <t>Perhitungan Penampang P1 Tanpa Baja Bergelombang</t>
  </si>
  <si>
    <t>Perhitungan Penampang P1 Komposit Baja Bergelombang Beton Bertulang</t>
  </si>
  <si>
    <t>Analisis Kapasitas P1 Tanpa CSP</t>
  </si>
  <si>
    <t>Analisis Kapasitas P1 Komposit CSP + Beton Bertulang</t>
  </si>
  <si>
    <t>Analisis Kapasitas P2 Beton Bertulang</t>
  </si>
  <si>
    <t>Pn (kN)</t>
  </si>
  <si>
    <t>Mn (kNm)</t>
  </si>
  <si>
    <t>FZ</t>
  </si>
  <si>
    <t>Perbandingan Tegangan pada CS Layan I (MPa)</t>
  </si>
  <si>
    <t>SF</t>
  </si>
  <si>
    <t>Titik tinjau pada tengah bentang P1 bagian luar</t>
  </si>
  <si>
    <t>Tanpa Komposit</t>
  </si>
  <si>
    <t>Von-Mises</t>
  </si>
  <si>
    <t>Perbandingan Tegangan Mortar Busa 800 kPa Layan I (MPa)</t>
  </si>
  <si>
    <t>Perbandingan Tegangan Mortar Busa 2000 kPa Layan I (MPa)</t>
  </si>
  <si>
    <t>Ix</t>
  </si>
  <si>
    <t>Iy</t>
  </si>
  <si>
    <t>rx</t>
  </si>
  <si>
    <t>ry</t>
  </si>
  <si>
    <t>mm4</t>
  </si>
  <si>
    <t>Gaya dalam</t>
  </si>
  <si>
    <t>Margin</t>
  </si>
  <si>
    <t>Perbandingan Gaya Dalam CS Kuat I</t>
  </si>
  <si>
    <t>Perbandingan Gaya Dalam Kuat I</t>
  </si>
  <si>
    <t>R</t>
  </si>
  <si>
    <t>Re</t>
  </si>
  <si>
    <t>K</t>
  </si>
  <si>
    <t>λ</t>
  </si>
  <si>
    <r>
      <t>φ</t>
    </r>
    <r>
      <rPr>
        <vertAlign val="subscript"/>
        <sz val="11"/>
        <color theme="1"/>
        <rFont val="Times New Roman"/>
        <family val="1"/>
      </rPr>
      <t>t</t>
    </r>
  </si>
  <si>
    <t>H</t>
  </si>
  <si>
    <t>H'</t>
  </si>
  <si>
    <t>Em</t>
  </si>
  <si>
    <t>S</t>
  </si>
  <si>
    <t>Dh</t>
  </si>
  <si>
    <t>fm</t>
  </si>
  <si>
    <t>&lt;1</t>
  </si>
  <si>
    <t>Mohr-Coulumb</t>
  </si>
  <si>
    <t>σ izin = Fb</t>
  </si>
  <si>
    <t>Beton Bertulang</t>
  </si>
  <si>
    <t>Titik tinjau</t>
  </si>
  <si>
    <t>Vs3</t>
  </si>
  <si>
    <t>Vs1</t>
  </si>
  <si>
    <t>Vs2</t>
  </si>
  <si>
    <t>Evaluasi</t>
  </si>
  <si>
    <t>Vu (kN)</t>
  </si>
  <si>
    <t>N/A</t>
  </si>
  <si>
    <t>σ ult</t>
  </si>
  <si>
    <t>ϕVn
Komposit CS+Beton</t>
  </si>
  <si>
    <r>
      <t xml:space="preserve">ϕVn
</t>
    </r>
    <r>
      <rPr>
        <i/>
        <sz val="11"/>
        <color theme="1"/>
        <rFont val="Times New Roman"/>
        <family val="1"/>
      </rPr>
      <t>Corrugated Steel</t>
    </r>
  </si>
  <si>
    <t>ϕVn
Beton Bertulang</t>
  </si>
  <si>
    <t>ϕVn</t>
  </si>
  <si>
    <t>No.</t>
  </si>
  <si>
    <t>T (detik)</t>
  </si>
  <si>
    <t>SA (g)</t>
  </si>
  <si>
    <r>
      <t>σ</t>
    </r>
    <r>
      <rPr>
        <vertAlign val="subscript"/>
        <sz val="11"/>
        <color theme="1"/>
        <rFont val="Times New Roman"/>
        <family val="1"/>
      </rPr>
      <t>c ult</t>
    </r>
  </si>
  <si>
    <t>σ (MPa)</t>
  </si>
  <si>
    <r>
      <t>σ</t>
    </r>
    <r>
      <rPr>
        <vertAlign val="subscript"/>
        <sz val="11"/>
        <color theme="1"/>
        <rFont val="Times New Roman"/>
        <family val="1"/>
      </rPr>
      <t>t ult</t>
    </r>
  </si>
  <si>
    <t>tensile to fc = 0,11</t>
  </si>
  <si>
    <t>Perhitungan σ ult MB 800 kPa</t>
  </si>
  <si>
    <t>Perhitungan σ ult MB 2000 kPa</t>
  </si>
  <si>
    <t>Minimum kuat tekan umur 14 hari</t>
  </si>
  <si>
    <t>Hasil uji umur 14 hari SE No.44 2015</t>
  </si>
  <si>
    <t>Konversi umur
14 -&gt; 28 = 0,85</t>
  </si>
  <si>
    <t>Corrugated Steel Plate</t>
  </si>
  <si>
    <t>Tipe</t>
  </si>
  <si>
    <t>CMP Pusjatan</t>
  </si>
  <si>
    <t>Gaya Dalam Pada CSP Kuat I</t>
  </si>
  <si>
    <t>Perbandingan Lendutan pada CSP Layan I (mm)</t>
  </si>
  <si>
    <t>Perbandingan Tegangan pada CSP Kuat I (MPa)</t>
  </si>
  <si>
    <t>Komposit CSP+Beton</t>
  </si>
  <si>
    <t>Kontrol Gaya Geser Kuat I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</si>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</sst>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2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돋움"/>
      <family val="2"/>
    </font>
    <font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70C0"/>
      <name val="Times New Roman"/>
      <family val="1"/>
    </font>
    <font>
      <i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2"/>
      <charset val="1"/>
    </font>
    <font>
      <sz val="11"/>
      <color rgb="FF000000"/>
      <name val="Times New Roman"/>
      <family val="2"/>
      <charset val="1"/>
    </font>
    <font>
      <sz val="11"/>
      <color theme="1"/>
      <name val="Times New Roman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DFE3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BBE3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21" fillId="0" borderId="0" applyFont="0" applyFill="0" applyBorder="0" applyAlignment="0" applyProtection="0"/>
  </cellStyleXfs>
  <cellXfs count="194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1" fillId="0" borderId="2" xfId="2" applyFont="1" applyBorder="1"/>
    <xf numFmtId="0" fontId="1" fillId="0" borderId="3" xfId="2" applyFont="1" applyBorder="1" applyAlignment="1">
      <alignment horizontal="right"/>
    </xf>
    <xf numFmtId="2" fontId="5" fillId="0" borderId="1" xfId="2" applyNumberFormat="1" applyFont="1" applyBorder="1" applyAlignment="1">
      <alignment horizontal="center"/>
    </xf>
    <xf numFmtId="0" fontId="1" fillId="0" borderId="1" xfId="2" applyFont="1" applyBorder="1"/>
    <xf numFmtId="0" fontId="1" fillId="0" borderId="0" xfId="2" applyFont="1"/>
    <xf numFmtId="0" fontId="1" fillId="0" borderId="1" xfId="2" applyFont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2" fontId="1" fillId="0" borderId="0" xfId="1" applyNumberFormat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1" fillId="2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" fillId="2" borderId="0" xfId="1" applyFont="1" applyFill="1"/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13" fillId="0" borderId="0" xfId="1" applyFont="1"/>
    <xf numFmtId="0" fontId="14" fillId="0" borderId="0" xfId="1" applyFont="1"/>
    <xf numFmtId="0" fontId="13" fillId="0" borderId="0" xfId="1" applyFont="1" applyAlignment="1">
      <alignment horizontal="right"/>
    </xf>
    <xf numFmtId="0" fontId="1" fillId="0" borderId="0" xfId="1" applyFont="1" applyAlignment="1">
      <alignment horizontal="right" vertical="center"/>
    </xf>
    <xf numFmtId="0" fontId="15" fillId="0" borderId="0" xfId="1" applyFont="1" applyAlignment="1">
      <alignment horizontal="right"/>
    </xf>
    <xf numFmtId="0" fontId="16" fillId="0" borderId="0" xfId="1" applyFont="1" applyAlignment="1">
      <alignment horizontal="right"/>
    </xf>
    <xf numFmtId="0" fontId="16" fillId="0" borderId="0" xfId="1" applyFont="1"/>
    <xf numFmtId="0" fontId="1" fillId="2" borderId="0" xfId="1" applyFont="1" applyFill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11" fillId="0" borderId="0" xfId="1" applyFont="1"/>
    <xf numFmtId="0" fontId="1" fillId="3" borderId="0" xfId="1" applyFont="1" applyFill="1" applyAlignment="1">
      <alignment horizontal="right"/>
    </xf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center" vertical="center"/>
    </xf>
    <xf numFmtId="0" fontId="17" fillId="0" borderId="0" xfId="1" applyFont="1"/>
    <xf numFmtId="0" fontId="1" fillId="0" borderId="0" xfId="1" applyFont="1" applyAlignment="1">
      <alignment horizontal="left" wrapText="1"/>
    </xf>
    <xf numFmtId="0" fontId="1" fillId="3" borderId="0" xfId="1" applyFont="1" applyFill="1"/>
    <xf numFmtId="0" fontId="14" fillId="0" borderId="0" xfId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4" fillId="0" borderId="0" xfId="1" applyFont="1" applyAlignment="1">
      <alignment horizontal="left"/>
    </xf>
    <xf numFmtId="165" fontId="14" fillId="0" borderId="0" xfId="1" applyNumberFormat="1" applyFont="1"/>
    <xf numFmtId="165" fontId="8" fillId="0" borderId="0" xfId="1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Fill="1"/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Fill="1" applyBorder="1"/>
    <xf numFmtId="0" fontId="0" fillId="0" borderId="1" xfId="0" applyNumberFormat="1" applyBorder="1" applyAlignment="1">
      <alignment horizontal="right"/>
    </xf>
    <xf numFmtId="164" fontId="0" fillId="2" borderId="1" xfId="0" applyNumberFormat="1" applyFill="1" applyBorder="1"/>
    <xf numFmtId="0" fontId="7" fillId="4" borderId="6" xfId="0" applyFont="1" applyFill="1" applyBorder="1" applyAlignment="1">
      <alignment horizontal="center" wrapText="1"/>
    </xf>
    <xf numFmtId="0" fontId="0" fillId="0" borderId="0" xfId="0"/>
    <xf numFmtId="0" fontId="20" fillId="5" borderId="1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0" fillId="0" borderId="0" xfId="0"/>
    <xf numFmtId="0" fontId="20" fillId="6" borderId="1" xfId="0" applyFont="1" applyFill="1" applyBorder="1"/>
    <xf numFmtId="0" fontId="20" fillId="5" borderId="1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20" fillId="5" borderId="5" xfId="0" applyFont="1" applyFill="1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164" fontId="0" fillId="0" borderId="0" xfId="0" applyNumberFormat="1" applyFill="1" applyBorder="1"/>
    <xf numFmtId="0" fontId="0" fillId="3" borderId="1" xfId="0" applyFill="1" applyBorder="1"/>
    <xf numFmtId="0" fontId="0" fillId="0" borderId="0" xfId="0" applyFo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7" fillId="4" borderId="7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3" applyNumberFormat="1" applyFont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3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2" fontId="0" fillId="0" borderId="0" xfId="0" applyNumberForma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2" fillId="0" borderId="0" xfId="1" applyFont="1" applyAlignment="1">
      <alignment horizontal="left" vertical="center" wrapText="1"/>
    </xf>
    <xf numFmtId="0" fontId="1" fillId="3" borderId="0" xfId="1" applyFont="1" applyFill="1" applyAlignment="1">
      <alignment horizontal="center" vertical="center" wrapText="1"/>
    </xf>
    <xf numFmtId="0" fontId="1" fillId="0" borderId="0" xfId="1" applyFont="1" applyAlignment="1">
      <alignment horizontal="left" wrapText="1"/>
    </xf>
    <xf numFmtId="0" fontId="1" fillId="3" borderId="0" xfId="1" applyFont="1" applyFill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0" applyNumberFormat="1"/>
    <xf numFmtId="0" fontId="0" fillId="0" borderId="7" xfId="0" applyBorder="1" applyAlignment="1">
      <alignment horizontal="center" vertical="center" wrapText="1"/>
    </xf>
    <xf numFmtId="10" fontId="0" fillId="0" borderId="7" xfId="3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10" fontId="0" fillId="0" borderId="8" xfId="3" applyNumberFormat="1" applyFont="1" applyBorder="1" applyAlignment="1">
      <alignment horizontal="center" vertical="center"/>
    </xf>
    <xf numFmtId="10" fontId="0" fillId="0" borderId="9" xfId="3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FB05A8CE-350E-438A-A72E-3CA638C176F0}"/>
    <cellStyle name="Normal 2 2" xfId="2" xr:uid="{5A78E318-2FC5-4921-85EC-816B8DAFAFF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r>
              <a:rPr lang="id-ID"/>
              <a:t>Diagram Interaksi P1</a:t>
            </a:r>
          </a:p>
        </c:rich>
      </c:tx>
      <c:layout>
        <c:manualLayout>
          <c:xMode val="edge"/>
          <c:yMode val="edge"/>
          <c:x val="0.37391365256682441"/>
          <c:y val="6.45682001614204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3.5089106564999285E-2"/>
          <c:y val="8.8272437470496554E-2"/>
          <c:w val="0.72508892554116688"/>
          <c:h val="0.8533686342555975"/>
        </c:manualLayout>
      </c:layout>
      <c:scatterChart>
        <c:scatterStyle val="lineMarker"/>
        <c:varyColors val="0"/>
        <c:ser>
          <c:idx val="0"/>
          <c:order val="0"/>
          <c:tx>
            <c:v>Pn-Mn Positif</c:v>
          </c:tx>
          <c:spPr>
            <a:ln w="31750" cap="rnd" cmpd="sng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P1 Komposit'!$U$35:$U$76</c:f>
              <c:numCache>
                <c:formatCode>0.000</c:formatCode>
                <c:ptCount val="42"/>
                <c:pt idx="0" formatCode="General">
                  <c:v>0</c:v>
                </c:pt>
                <c:pt idx="1">
                  <c:v>248.87338382540182</c:v>
                </c:pt>
                <c:pt idx="2">
                  <c:v>282.21490921897521</c:v>
                </c:pt>
                <c:pt idx="3">
                  <c:v>315.67569149662756</c:v>
                </c:pt>
                <c:pt idx="4">
                  <c:v>349.30589268134651</c:v>
                </c:pt>
                <c:pt idx="5">
                  <c:v>383.15996496913755</c:v>
                </c:pt>
                <c:pt idx="6">
                  <c:v>417.29711940338871</c:v>
                </c:pt>
                <c:pt idx="7">
                  <c:v>451.78185736126102</c:v>
                </c:pt>
                <c:pt idx="8">
                  <c:v>486.68457489761806</c:v>
                </c:pt>
                <c:pt idx="9">
                  <c:v>522.08225187101527</c:v>
                </c:pt>
                <c:pt idx="10">
                  <c:v>558.0592400601646</c:v>
                </c:pt>
                <c:pt idx="11">
                  <c:v>594.70816726734984</c:v>
                </c:pt>
                <c:pt idx="12">
                  <c:v>632.13097782429077</c:v>
                </c:pt>
                <c:pt idx="13">
                  <c:v>670.44013412867901</c:v>
                </c:pt>
                <c:pt idx="14">
                  <c:v>709.760009056169</c:v>
                </c:pt>
                <c:pt idx="15">
                  <c:v>750.22850558604307</c:v>
                </c:pt>
                <c:pt idx="16">
                  <c:v>781.66694810601984</c:v>
                </c:pt>
                <c:pt idx="17">
                  <c:v>786.64198150859863</c:v>
                </c:pt>
                <c:pt idx="18">
                  <c:v>791.01467787172385</c:v>
                </c:pt>
                <c:pt idx="19">
                  <c:v>794.79209929224362</c:v>
                </c:pt>
                <c:pt idx="20">
                  <c:v>797.98219704142753</c:v>
                </c:pt>
                <c:pt idx="21">
                  <c:v>800.59395605580994</c:v>
                </c:pt>
                <c:pt idx="22">
                  <c:v>803.50665288105233</c:v>
                </c:pt>
                <c:pt idx="23">
                  <c:v>805.11898646327757</c:v>
                </c:pt>
                <c:pt idx="24">
                  <c:v>805.48528610136009</c:v>
                </c:pt>
                <c:pt idx="25">
                  <c:v>802.95089203861426</c:v>
                </c:pt>
                <c:pt idx="26">
                  <c:v>796.68528768522924</c:v>
                </c:pt>
                <c:pt idx="27">
                  <c:v>788.81508408242303</c:v>
                </c:pt>
                <c:pt idx="28">
                  <c:v>777.77014473797487</c:v>
                </c:pt>
                <c:pt idx="29">
                  <c:v>759.94416436888446</c:v>
                </c:pt>
                <c:pt idx="30">
                  <c:v>746.17022556572704</c:v>
                </c:pt>
                <c:pt idx="31">
                  <c:v>739.28990417310763</c:v>
                </c:pt>
                <c:pt idx="32">
                  <c:v>715.44134898362972</c:v>
                </c:pt>
                <c:pt idx="33">
                  <c:v>687.86981022587486</c:v>
                </c:pt>
                <c:pt idx="34">
                  <c:v>655.78225503797876</c:v>
                </c:pt>
                <c:pt idx="35">
                  <c:v>617.93248892272641</c:v>
                </c:pt>
                <c:pt idx="36">
                  <c:v>572.24352105142577</c:v>
                </c:pt>
                <c:pt idx="37">
                  <c:v>530.44740900814259</c:v>
                </c:pt>
                <c:pt idx="38">
                  <c:v>454.12570365816276</c:v>
                </c:pt>
                <c:pt idx="39">
                  <c:v>389.92433792556506</c:v>
                </c:pt>
                <c:pt idx="40">
                  <c:v>362.72634291867803</c:v>
                </c:pt>
                <c:pt idx="41">
                  <c:v>333.92011864181853</c:v>
                </c:pt>
              </c:numCache>
            </c:numRef>
          </c:xVal>
          <c:yVal>
            <c:numRef>
              <c:f>'Kapasitas P1 Komposit'!$T$35:$T$76</c:f>
              <c:numCache>
                <c:formatCode>0.000</c:formatCode>
                <c:ptCount val="42"/>
                <c:pt idx="0">
                  <c:v>8476.8625010338856</c:v>
                </c:pt>
                <c:pt idx="1">
                  <c:v>7141.5423049706787</c:v>
                </c:pt>
                <c:pt idx="2">
                  <c:v>6906.7078188798569</c:v>
                </c:pt>
                <c:pt idx="3">
                  <c:v>6666.9981357683919</c:v>
                </c:pt>
                <c:pt idx="4">
                  <c:v>6422.1070838427131</c:v>
                </c:pt>
                <c:pt idx="5">
                  <c:v>6171.7023055637537</c:v>
                </c:pt>
                <c:pt idx="6">
                  <c:v>5915.4223970192797</c:v>
                </c:pt>
                <c:pt idx="7">
                  <c:v>5652.8736639131512</c:v>
                </c:pt>
                <c:pt idx="8">
                  <c:v>5383.6264328571369</c:v>
                </c:pt>
                <c:pt idx="9">
                  <c:v>5107.210845182085</c:v>
                </c:pt>
                <c:pt idx="10">
                  <c:v>4823.1120465451959</c:v>
                </c:pt>
                <c:pt idx="11">
                  <c:v>4530.7646685926684</c:v>
                </c:pt>
                <c:pt idx="12">
                  <c:v>4229.5464780685907</c:v>
                </c:pt>
                <c:pt idx="13">
                  <c:v>3918.7710430477764</c:v>
                </c:pt>
                <c:pt idx="14">
                  <c:v>3597.6792341302894</c:v>
                </c:pt>
                <c:pt idx="15">
                  <c:v>3265.4293388015431</c:v>
                </c:pt>
                <c:pt idx="16">
                  <c:v>2980.1255175560741</c:v>
                </c:pt>
                <c:pt idx="17">
                  <c:v>2841.3203741311604</c:v>
                </c:pt>
                <c:pt idx="18">
                  <c:v>2701.1619004060763</c:v>
                </c:pt>
                <c:pt idx="19">
                  <c:v>2559.5261999448908</c:v>
                </c:pt>
                <c:pt idx="20">
                  <c:v>2416.2737767604162</c:v>
                </c:pt>
                <c:pt idx="21">
                  <c:v>2271.2470003871326</c:v>
                </c:pt>
                <c:pt idx="22">
                  <c:v>2044.2447568965813</c:v>
                </c:pt>
                <c:pt idx="23">
                  <c:v>1811.8413550383939</c:v>
                </c:pt>
                <c:pt idx="24">
                  <c:v>1573.0836492182793</c:v>
                </c:pt>
                <c:pt idx="25">
                  <c:v>1311.6699321777742</c:v>
                </c:pt>
                <c:pt idx="26">
                  <c:v>1018.0512498864882</c:v>
                </c:pt>
                <c:pt idx="27">
                  <c:v>707.97158700813497</c:v>
                </c:pt>
                <c:pt idx="28">
                  <c:v>405.19320640389969</c:v>
                </c:pt>
                <c:pt idx="29">
                  <c:v>167.93929995955614</c:v>
                </c:pt>
                <c:pt idx="30">
                  <c:v>-3.3844095469248714E-5</c:v>
                </c:pt>
                <c:pt idx="31">
                  <c:v>-80.016804350700568</c:v>
                </c:pt>
                <c:pt idx="32">
                  <c:v>-341.88576588664523</c:v>
                </c:pt>
                <c:pt idx="33">
                  <c:v>-622.30520372350679</c:v>
                </c:pt>
                <c:pt idx="34">
                  <c:v>-928.23154647412935</c:v>
                </c:pt>
                <c:pt idx="35">
                  <c:v>-1270.5963248158391</c:v>
                </c:pt>
                <c:pt idx="36">
                  <c:v>-1667.6187565441785</c:v>
                </c:pt>
                <c:pt idx="37">
                  <c:v>-2016.3860558340098</c:v>
                </c:pt>
                <c:pt idx="38">
                  <c:v>-2653.9021624635252</c:v>
                </c:pt>
                <c:pt idx="39">
                  <c:v>-3170.9922262215114</c:v>
                </c:pt>
                <c:pt idx="40">
                  <c:v>-3349.3840444033294</c:v>
                </c:pt>
                <c:pt idx="41">
                  <c:v>-3527.7758625851475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67-4491-882C-E2D63CFCFA24}"/>
            </c:ext>
          </c:extLst>
        </c:ser>
        <c:ser>
          <c:idx val="5"/>
          <c:order val="1"/>
          <c:tx>
            <c:v>ϕPn-ϕMn Positif</c:v>
          </c:tx>
          <c:spPr>
            <a:ln w="31750" cap="rnd" cmpd="dbl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'Kapasitas P1 Komposit'!$X$35:$X$76</c:f>
              <c:numCache>
                <c:formatCode>0.000</c:formatCode>
                <c:ptCount val="42"/>
                <c:pt idx="0" formatCode="General">
                  <c:v>0</c:v>
                </c:pt>
                <c:pt idx="1">
                  <c:v>161.76769948651119</c:v>
                </c:pt>
                <c:pt idx="2">
                  <c:v>183.43969099233388</c:v>
                </c:pt>
                <c:pt idx="3">
                  <c:v>205.18919947280793</c:v>
                </c:pt>
                <c:pt idx="4">
                  <c:v>227.04883024287523</c:v>
                </c:pt>
                <c:pt idx="5">
                  <c:v>249.05397722993942</c:v>
                </c:pt>
                <c:pt idx="6">
                  <c:v>271.24312761220267</c:v>
                </c:pt>
                <c:pt idx="7">
                  <c:v>293.6582072848197</c:v>
                </c:pt>
                <c:pt idx="8">
                  <c:v>316.34497368345177</c:v>
                </c:pt>
                <c:pt idx="9">
                  <c:v>339.35346371615992</c:v>
                </c:pt>
                <c:pt idx="10">
                  <c:v>362.73850603910699</c:v>
                </c:pt>
                <c:pt idx="11">
                  <c:v>386.56030872377738</c:v>
                </c:pt>
                <c:pt idx="12">
                  <c:v>410.88513558578899</c:v>
                </c:pt>
                <c:pt idx="13">
                  <c:v>435.78608718364137</c:v>
                </c:pt>
                <c:pt idx="14">
                  <c:v>461.34400588650988</c:v>
                </c:pt>
                <c:pt idx="15">
                  <c:v>487.64852863092801</c:v>
                </c:pt>
                <c:pt idx="16">
                  <c:v>508.08351626891294</c:v>
                </c:pt>
                <c:pt idx="17">
                  <c:v>511.31728798058913</c:v>
                </c:pt>
                <c:pt idx="18">
                  <c:v>514.15954061662057</c:v>
                </c:pt>
                <c:pt idx="19">
                  <c:v>516.61486453995838</c:v>
                </c:pt>
                <c:pt idx="20">
                  <c:v>518.68842807692795</c:v>
                </c:pt>
                <c:pt idx="21">
                  <c:v>520.38607143627644</c:v>
                </c:pt>
                <c:pt idx="22">
                  <c:v>536.37593231796563</c:v>
                </c:pt>
                <c:pt idx="23">
                  <c:v>556.87396563710035</c:v>
                </c:pt>
                <c:pt idx="24">
                  <c:v>578.84383795323231</c:v>
                </c:pt>
                <c:pt idx="25">
                  <c:v>601.37676184975385</c:v>
                </c:pt>
                <c:pt idx="26">
                  <c:v>624.07014202009623</c:v>
                </c:pt>
                <c:pt idx="27">
                  <c:v>648.89431321542179</c:v>
                </c:pt>
                <c:pt idx="28">
                  <c:v>675.06459998411412</c:v>
                </c:pt>
                <c:pt idx="29">
                  <c:v>683.94974793199606</c:v>
                </c:pt>
                <c:pt idx="30">
                  <c:v>671.55320300915434</c:v>
                </c:pt>
                <c:pt idx="31">
                  <c:v>665.3609137557969</c:v>
                </c:pt>
                <c:pt idx="32">
                  <c:v>643.8972140852668</c:v>
                </c:pt>
                <c:pt idx="33">
                  <c:v>619.08282920328736</c:v>
                </c:pt>
                <c:pt idx="34">
                  <c:v>590.2040295341809</c:v>
                </c:pt>
                <c:pt idx="35">
                  <c:v>556.13924003045383</c:v>
                </c:pt>
                <c:pt idx="36">
                  <c:v>515.01916894628323</c:v>
                </c:pt>
                <c:pt idx="37">
                  <c:v>477.40266810732834</c:v>
                </c:pt>
                <c:pt idx="38">
                  <c:v>408.71313329234647</c:v>
                </c:pt>
                <c:pt idx="39">
                  <c:v>350.93190413300857</c:v>
                </c:pt>
                <c:pt idx="40">
                  <c:v>326.45370862681023</c:v>
                </c:pt>
                <c:pt idx="41">
                  <c:v>300.52810677763671</c:v>
                </c:pt>
              </c:numCache>
            </c:numRef>
          </c:xVal>
          <c:yVal>
            <c:numRef>
              <c:f>'Kapasitas P1 Komposit'!$W$35:$W$76</c:f>
              <c:numCache>
                <c:formatCode>0.000</c:formatCode>
                <c:ptCount val="42"/>
                <c:pt idx="0">
                  <c:v>5509.9606256720263</c:v>
                </c:pt>
                <c:pt idx="1">
                  <c:v>4642.0024982309415</c:v>
                </c:pt>
                <c:pt idx="2">
                  <c:v>4489.3600822719072</c:v>
                </c:pt>
                <c:pt idx="3">
                  <c:v>4333.5487882494544</c:v>
                </c:pt>
                <c:pt idx="4">
                  <c:v>4174.3696044977632</c:v>
                </c:pt>
                <c:pt idx="5">
                  <c:v>4011.6064986164401</c:v>
                </c:pt>
                <c:pt idx="6">
                  <c:v>3845.0245580625319</c:v>
                </c:pt>
                <c:pt idx="7">
                  <c:v>3674.3678815435483</c:v>
                </c:pt>
                <c:pt idx="8">
                  <c:v>3499.3571813571393</c:v>
                </c:pt>
                <c:pt idx="9">
                  <c:v>3319.6870493683555</c:v>
                </c:pt>
                <c:pt idx="10">
                  <c:v>3135.0228302543774</c:v>
                </c:pt>
                <c:pt idx="11">
                  <c:v>2944.9970345852344</c:v>
                </c:pt>
                <c:pt idx="12">
                  <c:v>2749.2052107445838</c:v>
                </c:pt>
                <c:pt idx="13">
                  <c:v>2547.2011779810546</c:v>
                </c:pt>
                <c:pt idx="14">
                  <c:v>2338.4915021846882</c:v>
                </c:pt>
                <c:pt idx="15">
                  <c:v>2122.5290702210032</c:v>
                </c:pt>
                <c:pt idx="16">
                  <c:v>1937.0815864114481</c:v>
                </c:pt>
                <c:pt idx="17">
                  <c:v>1846.8582431852544</c:v>
                </c:pt>
                <c:pt idx="18">
                  <c:v>1755.7552352639495</c:v>
                </c:pt>
                <c:pt idx="19">
                  <c:v>1663.692029964179</c:v>
                </c:pt>
                <c:pt idx="20">
                  <c:v>1570.5779548942705</c:v>
                </c:pt>
                <c:pt idx="21">
                  <c:v>1476.3105502516362</c:v>
                </c:pt>
                <c:pt idx="22">
                  <c:v>1364.6230350862265</c:v>
                </c:pt>
                <c:pt idx="23">
                  <c:v>1253.1902705682223</c:v>
                </c:pt>
                <c:pt idx="24">
                  <c:v>1130.4610930166655</c:v>
                </c:pt>
                <c:pt idx="25">
                  <c:v>982.38612628731221</c:v>
                </c:pt>
                <c:pt idx="26">
                  <c:v>797.47347907774906</c:v>
                </c:pt>
                <c:pt idx="27">
                  <c:v>582.39091264597766</c:v>
                </c:pt>
                <c:pt idx="28">
                  <c:v>351.68692401979501</c:v>
                </c:pt>
                <c:pt idx="29">
                  <c:v>151.14536996360053</c:v>
                </c:pt>
                <c:pt idx="30">
                  <c:v>-3.0459685922323844E-5</c:v>
                </c:pt>
                <c:pt idx="31">
                  <c:v>-72.015123915630511</c:v>
                </c:pt>
                <c:pt idx="32">
                  <c:v>-307.69718929798074</c:v>
                </c:pt>
                <c:pt idx="33">
                  <c:v>-560.07468335115618</c:v>
                </c:pt>
                <c:pt idx="34">
                  <c:v>-835.40839182671641</c:v>
                </c:pt>
                <c:pt idx="35">
                  <c:v>-1143.5366923342553</c:v>
                </c:pt>
                <c:pt idx="36">
                  <c:v>-1500.8568808897608</c:v>
                </c:pt>
                <c:pt idx="37">
                  <c:v>-1814.7474502506088</c:v>
                </c:pt>
                <c:pt idx="38">
                  <c:v>-2388.5119462171729</c:v>
                </c:pt>
                <c:pt idx="39">
                  <c:v>-2853.8930035993603</c:v>
                </c:pt>
                <c:pt idx="40">
                  <c:v>-3014.4456399629967</c:v>
                </c:pt>
                <c:pt idx="41">
                  <c:v>-3174.998276326633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99-4C18-A3C8-E46E2ABAF02D}"/>
            </c:ext>
          </c:extLst>
        </c:ser>
        <c:ser>
          <c:idx val="1"/>
          <c:order val="2"/>
          <c:tx>
            <c:v>Pn-Mn Negatif</c:v>
          </c:tx>
          <c:spPr>
            <a:ln w="317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P1 Komposit'!$U$80:$U$121</c:f>
              <c:numCache>
                <c:formatCode>0.000</c:formatCode>
                <c:ptCount val="42"/>
                <c:pt idx="0" formatCode="General">
                  <c:v>0</c:v>
                </c:pt>
                <c:pt idx="1">
                  <c:v>-662.84171618414189</c:v>
                </c:pt>
                <c:pt idx="2">
                  <c:v>-672.6366347219564</c:v>
                </c:pt>
                <c:pt idx="3">
                  <c:v>-682.10206170699064</c:v>
                </c:pt>
                <c:pt idx="4">
                  <c:v>-691.2463986905816</c:v>
                </c:pt>
                <c:pt idx="5">
                  <c:v>-700.0787657777995</c:v>
                </c:pt>
                <c:pt idx="6">
                  <c:v>-708.60908012491439</c:v>
                </c:pt>
                <c:pt idx="7">
                  <c:v>-716.84814495714011</c:v>
                </c:pt>
                <c:pt idx="8">
                  <c:v>-724.80775078916645</c:v>
                </c:pt>
                <c:pt idx="9">
                  <c:v>-732.50079084568983</c:v>
                </c:pt>
                <c:pt idx="10">
                  <c:v>-739.94139306169006</c:v>
                </c:pt>
                <c:pt idx="11">
                  <c:v>-747.14507150916472</c:v>
                </c:pt>
                <c:pt idx="12">
                  <c:v>-754.12890066967373</c:v>
                </c:pt>
                <c:pt idx="13">
                  <c:v>-760.9117166776357</c:v>
                </c:pt>
                <c:pt idx="14">
                  <c:v>-767.51435053302976</c:v>
                </c:pt>
                <c:pt idx="15">
                  <c:v>-773.95989936972376</c:v>
                </c:pt>
                <c:pt idx="16">
                  <c:v>-780.27404322687789</c:v>
                </c:pt>
                <c:pt idx="17">
                  <c:v>-786.4854164844412</c:v>
                </c:pt>
                <c:pt idx="18">
                  <c:v>-792.62604529401915</c:v>
                </c:pt>
                <c:pt idx="19">
                  <c:v>-798.73186510271853</c:v>
                </c:pt>
                <c:pt idx="20">
                  <c:v>-804.84333591757252</c:v>
                </c:pt>
                <c:pt idx="21">
                  <c:v>-811.00617754652842</c:v>
                </c:pt>
                <c:pt idx="22">
                  <c:v>-804.90351233338117</c:v>
                </c:pt>
                <c:pt idx="23">
                  <c:v>-797.51471156698722</c:v>
                </c:pt>
                <c:pt idx="24">
                  <c:v>-788.80630966979709</c:v>
                </c:pt>
                <c:pt idx="25">
                  <c:v>-778.73647466987461</c:v>
                </c:pt>
                <c:pt idx="26">
                  <c:v>-767.25221940276697</c:v>
                </c:pt>
                <c:pt idx="27">
                  <c:v>-754.28541751417765</c:v>
                </c:pt>
                <c:pt idx="28">
                  <c:v>-743.83838990474737</c:v>
                </c:pt>
                <c:pt idx="29">
                  <c:v>-727.60953374164558</c:v>
                </c:pt>
                <c:pt idx="30">
                  <c:v>-709.52827949049686</c:v>
                </c:pt>
                <c:pt idx="31">
                  <c:v>-689.36785690902752</c:v>
                </c:pt>
                <c:pt idx="32">
                  <c:v>-666.80070898062013</c:v>
                </c:pt>
                <c:pt idx="33">
                  <c:v>-642.98438889111765</c:v>
                </c:pt>
                <c:pt idx="34">
                  <c:v>-625.43050076735722</c:v>
                </c:pt>
                <c:pt idx="35">
                  <c:v>-606.78011536312863</c:v>
                </c:pt>
                <c:pt idx="36">
                  <c:v>-587.03323267843155</c:v>
                </c:pt>
                <c:pt idx="37">
                  <c:v>-566.18985271326642</c:v>
                </c:pt>
                <c:pt idx="38">
                  <c:v>-544.24997546763279</c:v>
                </c:pt>
                <c:pt idx="39">
                  <c:v>-521.21360094153067</c:v>
                </c:pt>
                <c:pt idx="40">
                  <c:v>-497.08072913496056</c:v>
                </c:pt>
                <c:pt idx="41">
                  <c:v>-471.85136004792201</c:v>
                </c:pt>
              </c:numCache>
            </c:numRef>
          </c:xVal>
          <c:yVal>
            <c:numRef>
              <c:f>'Kapasitas P1 Komposit'!$T$80:$T$121</c:f>
              <c:numCache>
                <c:formatCode>0.000</c:formatCode>
                <c:ptCount val="42"/>
                <c:pt idx="0">
                  <c:v>8476.8625010338856</c:v>
                </c:pt>
                <c:pt idx="1">
                  <c:v>7512.0558912130164</c:v>
                </c:pt>
                <c:pt idx="2">
                  <c:v>7377.3033361659909</c:v>
                </c:pt>
                <c:pt idx="3">
                  <c:v>7240.9511201376845</c:v>
                </c:pt>
                <c:pt idx="4">
                  <c:v>7102.8987813273416</c:v>
                </c:pt>
                <c:pt idx="5">
                  <c:v>6963.0372658065062</c:v>
                </c:pt>
                <c:pt idx="6">
                  <c:v>6821.2479888832331</c:v>
                </c:pt>
                <c:pt idx="7">
                  <c:v>6677.4017706697323</c:v>
                </c:pt>
                <c:pt idx="8">
                  <c:v>6531.3576257348577</c:v>
                </c:pt>
                <c:pt idx="9">
                  <c:v>6382.9613829596674</c:v>
                </c:pt>
                <c:pt idx="10">
                  <c:v>6232.0441071401619</c:v>
                </c:pt>
                <c:pt idx="11">
                  <c:v>6078.4202882976051</c:v>
                </c:pt>
                <c:pt idx="12">
                  <c:v>5921.8857578093703</c:v>
                </c:pt>
                <c:pt idx="13">
                  <c:v>5762.2152820362098</c:v>
                </c:pt>
                <c:pt idx="14">
                  <c:v>5599.1597736744316</c:v>
                </c:pt>
                <c:pt idx="15">
                  <c:v>5432.4430480567626</c:v>
                </c:pt>
                <c:pt idx="16">
                  <c:v>5261.7580353488393</c:v>
                </c:pt>
                <c:pt idx="17">
                  <c:v>5086.7623390981835</c:v>
                </c:pt>
                <c:pt idx="18">
                  <c:v>4907.0730056415432</c:v>
                </c:pt>
                <c:pt idx="19">
                  <c:v>4722.2603357980943</c:v>
                </c:pt>
                <c:pt idx="20">
                  <c:v>4531.8405278267055</c:v>
                </c:pt>
                <c:pt idx="21">
                  <c:v>4335.2668857599037</c:v>
                </c:pt>
                <c:pt idx="22">
                  <c:v>4158.0233278570749</c:v>
                </c:pt>
                <c:pt idx="23">
                  <c:v>3977.452782712518</c:v>
                </c:pt>
                <c:pt idx="24">
                  <c:v>3792.9681349306338</c:v>
                </c:pt>
                <c:pt idx="25">
                  <c:v>3603.835490266923</c:v>
                </c:pt>
                <c:pt idx="26">
                  <c:v>3409.1252493450202</c:v>
                </c:pt>
                <c:pt idx="27">
                  <c:v>3207.6422129667417</c:v>
                </c:pt>
                <c:pt idx="28">
                  <c:v>3069.6025372836816</c:v>
                </c:pt>
                <c:pt idx="29">
                  <c:v>2849.3640673339009</c:v>
                </c:pt>
                <c:pt idx="30">
                  <c:v>2615.8641797073005</c:v>
                </c:pt>
                <c:pt idx="31">
                  <c:v>2365.1244491008351</c:v>
                </c:pt>
                <c:pt idx="32">
                  <c:v>2091.3982611878819</c:v>
                </c:pt>
                <c:pt idx="33">
                  <c:v>1814.9935665972666</c:v>
                </c:pt>
                <c:pt idx="34">
                  <c:v>1667.6928938699939</c:v>
                </c:pt>
                <c:pt idx="35">
                  <c:v>1520.3922211427214</c:v>
                </c:pt>
                <c:pt idx="36">
                  <c:v>1373.0915484154484</c:v>
                </c:pt>
                <c:pt idx="37">
                  <c:v>1225.7908756881757</c:v>
                </c:pt>
                <c:pt idx="38">
                  <c:v>1078.4902029609029</c:v>
                </c:pt>
                <c:pt idx="39">
                  <c:v>931.18953023363019</c:v>
                </c:pt>
                <c:pt idx="40">
                  <c:v>783.88885750635791</c:v>
                </c:pt>
                <c:pt idx="41">
                  <c:v>636.58818477908517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67-4491-882C-E2D63CFCFA24}"/>
            </c:ext>
          </c:extLst>
        </c:ser>
        <c:ser>
          <c:idx val="6"/>
          <c:order val="3"/>
          <c:tx>
            <c:v>ϕPn-ϕMn Negatif</c:v>
          </c:tx>
          <c:spPr>
            <a:ln w="31750" cap="rnd" cmpd="dbl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'Kapasitas P1 Komposit'!$X$80:$X$121</c:f>
              <c:numCache>
                <c:formatCode>0.000</c:formatCode>
                <c:ptCount val="42"/>
                <c:pt idx="0" formatCode="General">
                  <c:v>0</c:v>
                </c:pt>
                <c:pt idx="1">
                  <c:v>-430.84711551969224</c:v>
                </c:pt>
                <c:pt idx="2">
                  <c:v>-437.21381256927168</c:v>
                </c:pt>
                <c:pt idx="3">
                  <c:v>-443.36634010954396</c:v>
                </c:pt>
                <c:pt idx="4">
                  <c:v>-449.31015914887803</c:v>
                </c:pt>
                <c:pt idx="5">
                  <c:v>-455.05119775556972</c:v>
                </c:pt>
                <c:pt idx="6">
                  <c:v>-460.59590208119437</c:v>
                </c:pt>
                <c:pt idx="7">
                  <c:v>-465.95129422214109</c:v>
                </c:pt>
                <c:pt idx="8">
                  <c:v>-471.12503801295821</c:v>
                </c:pt>
                <c:pt idx="9">
                  <c:v>-476.12551404969838</c:v>
                </c:pt>
                <c:pt idx="10">
                  <c:v>-480.96190549009856</c:v>
                </c:pt>
                <c:pt idx="11">
                  <c:v>-485.64429648095711</c:v>
                </c:pt>
                <c:pt idx="12">
                  <c:v>-490.18378543528792</c:v>
                </c:pt>
                <c:pt idx="13">
                  <c:v>-494.59261584046322</c:v>
                </c:pt>
                <c:pt idx="14">
                  <c:v>-498.88432784646938</c:v>
                </c:pt>
                <c:pt idx="15">
                  <c:v>-503.07393459032045</c:v>
                </c:pt>
                <c:pt idx="16">
                  <c:v>-507.17812809747068</c:v>
                </c:pt>
                <c:pt idx="17">
                  <c:v>-511.21552071488679</c:v>
                </c:pt>
                <c:pt idx="18">
                  <c:v>-515.20692944111249</c:v>
                </c:pt>
                <c:pt idx="19">
                  <c:v>-519.17571231676709</c:v>
                </c:pt>
                <c:pt idx="20">
                  <c:v>-523.14816834642215</c:v>
                </c:pt>
                <c:pt idx="21">
                  <c:v>-527.15401540524351</c:v>
                </c:pt>
                <c:pt idx="22">
                  <c:v>-537.30839726816055</c:v>
                </c:pt>
                <c:pt idx="23">
                  <c:v>-551.61434216716623</c:v>
                </c:pt>
                <c:pt idx="24">
                  <c:v>-566.85786763525618</c:v>
                </c:pt>
                <c:pt idx="25">
                  <c:v>-583.24117217462492</c:v>
                </c:pt>
                <c:pt idx="26">
                  <c:v>-601.0142385321675</c:v>
                </c:pt>
                <c:pt idx="27">
                  <c:v>-620.48955178844847</c:v>
                </c:pt>
                <c:pt idx="28">
                  <c:v>-645.61357687886402</c:v>
                </c:pt>
                <c:pt idx="29">
                  <c:v>-654.84858036748108</c:v>
                </c:pt>
                <c:pt idx="30">
                  <c:v>-638.57545154144714</c:v>
                </c:pt>
                <c:pt idx="31">
                  <c:v>-620.43107121812477</c:v>
                </c:pt>
                <c:pt idx="32">
                  <c:v>-600.12063808255812</c:v>
                </c:pt>
                <c:pt idx="33">
                  <c:v>-578.68595000200594</c:v>
                </c:pt>
                <c:pt idx="34">
                  <c:v>-562.88745069062156</c:v>
                </c:pt>
                <c:pt idx="35">
                  <c:v>-546.10210382681578</c:v>
                </c:pt>
                <c:pt idx="36">
                  <c:v>-528.32990941058836</c:v>
                </c:pt>
                <c:pt idx="37">
                  <c:v>-509.57086744193981</c:v>
                </c:pt>
                <c:pt idx="38">
                  <c:v>-489.82497792086951</c:v>
                </c:pt>
                <c:pt idx="39">
                  <c:v>-469.09224084737764</c:v>
                </c:pt>
                <c:pt idx="40">
                  <c:v>-447.37265622146452</c:v>
                </c:pt>
                <c:pt idx="41">
                  <c:v>-424.66622404312983</c:v>
                </c:pt>
              </c:numCache>
            </c:numRef>
          </c:xVal>
          <c:yVal>
            <c:numRef>
              <c:f>'Kapasitas P1 Komposit'!$W$80:$W$121</c:f>
              <c:numCache>
                <c:formatCode>0.000</c:formatCode>
                <c:ptCount val="42"/>
                <c:pt idx="0">
                  <c:v>5509.9606256720263</c:v>
                </c:pt>
                <c:pt idx="1">
                  <c:v>4882.8363292884605</c:v>
                </c:pt>
                <c:pt idx="2">
                  <c:v>4795.2471685078945</c:v>
                </c:pt>
                <c:pt idx="3">
                  <c:v>4706.6182280894955</c:v>
                </c:pt>
                <c:pt idx="4">
                  <c:v>4616.8842078627722</c:v>
                </c:pt>
                <c:pt idx="5">
                  <c:v>4525.974222774229</c:v>
                </c:pt>
                <c:pt idx="6">
                  <c:v>4433.811192774102</c:v>
                </c:pt>
                <c:pt idx="7">
                  <c:v>4340.3111509353257</c:v>
                </c:pt>
                <c:pt idx="8">
                  <c:v>4245.3824567276579</c:v>
                </c:pt>
                <c:pt idx="9">
                  <c:v>4148.924898923784</c:v>
                </c:pt>
                <c:pt idx="10">
                  <c:v>4050.8286696411055</c:v>
                </c:pt>
                <c:pt idx="11">
                  <c:v>3950.9731873934434</c:v>
                </c:pt>
                <c:pt idx="12">
                  <c:v>3849.2257425760909</c:v>
                </c:pt>
                <c:pt idx="13">
                  <c:v>3745.4399333235365</c:v>
                </c:pt>
                <c:pt idx="14">
                  <c:v>3639.4538528883804</c:v>
                </c:pt>
                <c:pt idx="15">
                  <c:v>3531.0879812368958</c:v>
                </c:pt>
                <c:pt idx="16">
                  <c:v>3420.1427229767455</c:v>
                </c:pt>
                <c:pt idx="17">
                  <c:v>3306.3955204138192</c:v>
                </c:pt>
                <c:pt idx="18">
                  <c:v>3189.5974536670033</c:v>
                </c:pt>
                <c:pt idx="19">
                  <c:v>3069.4692182687613</c:v>
                </c:pt>
                <c:pt idx="20">
                  <c:v>2945.6963430873589</c:v>
                </c:pt>
                <c:pt idx="21">
                  <c:v>2817.9234757439376</c:v>
                </c:pt>
                <c:pt idx="22">
                  <c:v>2775.6629407888017</c:v>
                </c:pt>
                <c:pt idx="23">
                  <c:v>2751.0715080428254</c:v>
                </c:pt>
                <c:pt idx="24">
                  <c:v>2725.7310224550533</c:v>
                </c:pt>
                <c:pt idx="25">
                  <c:v>2699.122622397831</c:v>
                </c:pt>
                <c:pt idx="26">
                  <c:v>2670.4814453202657</c:v>
                </c:pt>
                <c:pt idx="27">
                  <c:v>2638.6675823333553</c:v>
                </c:pt>
                <c:pt idx="28">
                  <c:v>2664.2575868475028</c:v>
                </c:pt>
                <c:pt idx="29">
                  <c:v>2564.427660600511</c:v>
                </c:pt>
                <c:pt idx="30">
                  <c:v>2354.2777617365705</c:v>
                </c:pt>
                <c:pt idx="31">
                  <c:v>2128.6120041907516</c:v>
                </c:pt>
                <c:pt idx="32">
                  <c:v>1882.2584350690938</c:v>
                </c:pt>
                <c:pt idx="33">
                  <c:v>1633.4942099375401</c:v>
                </c:pt>
                <c:pt idx="34">
                  <c:v>1500.9236044829945</c:v>
                </c:pt>
                <c:pt idx="35">
                  <c:v>1368.3529990284492</c:v>
                </c:pt>
                <c:pt idx="36">
                  <c:v>1235.7823935739036</c:v>
                </c:pt>
                <c:pt idx="37">
                  <c:v>1103.2117881193581</c:v>
                </c:pt>
                <c:pt idx="38">
                  <c:v>970.64118266481262</c:v>
                </c:pt>
                <c:pt idx="39">
                  <c:v>838.07057721026717</c:v>
                </c:pt>
                <c:pt idx="40">
                  <c:v>705.49997175572219</c:v>
                </c:pt>
                <c:pt idx="41">
                  <c:v>572.92936630117663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99-4C18-A3C8-E46E2ABAF02D}"/>
            </c:ext>
          </c:extLst>
        </c:ser>
        <c:ser>
          <c:idx val="3"/>
          <c:order val="4"/>
          <c:tx>
            <c:v>Pn-Mn Positif Tanpa CS</c:v>
          </c:tx>
          <c:spPr>
            <a:ln w="19050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P1 tanpa CS'!$U$35:$U$73</c:f>
              <c:numCache>
                <c:formatCode>0.000</c:formatCode>
                <c:ptCount val="39"/>
                <c:pt idx="0">
                  <c:v>0</c:v>
                </c:pt>
                <c:pt idx="1">
                  <c:v>408.69717284582032</c:v>
                </c:pt>
                <c:pt idx="2">
                  <c:v>411.22136983081521</c:v>
                </c:pt>
                <c:pt idx="3">
                  <c:v>413.48668077987401</c:v>
                </c:pt>
                <c:pt idx="4">
                  <c:v>415.49559655783094</c:v>
                </c:pt>
                <c:pt idx="5">
                  <c:v>417.25082106401226</c:v>
                </c:pt>
                <c:pt idx="6">
                  <c:v>418.7552945049124</c:v>
                </c:pt>
                <c:pt idx="7">
                  <c:v>420.01221978588779</c:v>
                </c:pt>
                <c:pt idx="8">
                  <c:v>421.02509252069319</c:v>
                </c:pt>
                <c:pt idx="9">
                  <c:v>421.79773525098824</c:v>
                </c:pt>
                <c:pt idx="10">
                  <c:v>422.33433658135385</c:v>
                </c:pt>
                <c:pt idx="11">
                  <c:v>422.63949607380192</c:v>
                </c:pt>
                <c:pt idx="12">
                  <c:v>422.71827591553676</c:v>
                </c:pt>
                <c:pt idx="13">
                  <c:v>422.57626058291856</c:v>
                </c:pt>
                <c:pt idx="14">
                  <c:v>421.5952093511259</c:v>
                </c:pt>
                <c:pt idx="15">
                  <c:v>419.28132263666919</c:v>
                </c:pt>
                <c:pt idx="16">
                  <c:v>416.66945753308448</c:v>
                </c:pt>
                <c:pt idx="17">
                  <c:v>413.75966321136156</c:v>
                </c:pt>
                <c:pt idx="18">
                  <c:v>410.55199466684462</c:v>
                </c:pt>
                <c:pt idx="19">
                  <c:v>407.04651360792411</c:v>
                </c:pt>
                <c:pt idx="20">
                  <c:v>403.24328951257053</c:v>
                </c:pt>
                <c:pt idx="21">
                  <c:v>399.14240089089014</c:v>
                </c:pt>
                <c:pt idx="22">
                  <c:v>388.07223442204435</c:v>
                </c:pt>
                <c:pt idx="23">
                  <c:v>375.83368189919463</c:v>
                </c:pt>
                <c:pt idx="24">
                  <c:v>362.34525574579078</c:v>
                </c:pt>
                <c:pt idx="25">
                  <c:v>347.50509649114531</c:v>
                </c:pt>
                <c:pt idx="26">
                  <c:v>331.18418213905403</c:v>
                </c:pt>
                <c:pt idx="27">
                  <c:v>313.21662726582576</c:v>
                </c:pt>
                <c:pt idx="28">
                  <c:v>293.3855047789412</c:v>
                </c:pt>
                <c:pt idx="29">
                  <c:v>271.40157855504162</c:v>
                </c:pt>
                <c:pt idx="30">
                  <c:v>246.87043569863724</c:v>
                </c:pt>
                <c:pt idx="31">
                  <c:v>219.23989815604295</c:v>
                </c:pt>
                <c:pt idx="32">
                  <c:v>187.71237540526877</c:v>
                </c:pt>
                <c:pt idx="33">
                  <c:v>166.56212273904157</c:v>
                </c:pt>
                <c:pt idx="34">
                  <c:v>127.24246161647004</c:v>
                </c:pt>
                <c:pt idx="35">
                  <c:v>122.96782320410497</c:v>
                </c:pt>
                <c:pt idx="36">
                  <c:v>69.266726539781814</c:v>
                </c:pt>
                <c:pt idx="37">
                  <c:v>15.352130637686281</c:v>
                </c:pt>
                <c:pt idx="38">
                  <c:v>-2.4571119829488452E-6</c:v>
                </c:pt>
              </c:numCache>
            </c:numRef>
          </c:xVal>
          <c:yVal>
            <c:numRef>
              <c:f>'Kapasitas P1 tanpa CS'!$T$35:$T$73</c:f>
              <c:numCache>
                <c:formatCode>0.000</c:formatCode>
                <c:ptCount val="39"/>
                <c:pt idx="0">
                  <c:v>6726.9745010338866</c:v>
                </c:pt>
                <c:pt idx="1">
                  <c:v>4872.1022123317571</c:v>
                </c:pt>
                <c:pt idx="2">
                  <c:v>4778.2733095334224</c:v>
                </c:pt>
                <c:pt idx="3">
                  <c:v>4683.7485780972447</c:v>
                </c:pt>
                <c:pt idx="4">
                  <c:v>4588.4843186401695</c:v>
                </c:pt>
                <c:pt idx="5">
                  <c:v>4492.4330943319101</c:v>
                </c:pt>
                <c:pt idx="6">
                  <c:v>4395.5433226023861</c:v>
                </c:pt>
                <c:pt idx="7">
                  <c:v>4297.7588121295594</c:v>
                </c:pt>
                <c:pt idx="8">
                  <c:v>4199.0182363563272</c:v>
                </c:pt>
                <c:pt idx="9">
                  <c:v>4099.2545331483097</c:v>
                </c:pt>
                <c:pt idx="10">
                  <c:v>3998.3942182146116</c:v>
                </c:pt>
                <c:pt idx="11">
                  <c:v>3896.356597484852</c:v>
                </c:pt>
                <c:pt idx="12">
                  <c:v>3793.0528606572007</c:v>
                </c:pt>
                <c:pt idx="13">
                  <c:v>3688.3850344621778</c:v>
                </c:pt>
                <c:pt idx="14">
                  <c:v>3576.7674307610318</c:v>
                </c:pt>
                <c:pt idx="15">
                  <c:v>3453.6882699513317</c:v>
                </c:pt>
                <c:pt idx="16">
                  <c:v>3328.0248896476774</c:v>
                </c:pt>
                <c:pt idx="17">
                  <c:v>3199.5543151592192</c:v>
                </c:pt>
                <c:pt idx="18">
                  <c:v>3068.0271602144148</c:v>
                </c:pt>
                <c:pt idx="19">
                  <c:v>2933.1635970250054</c:v>
                </c:pt>
                <c:pt idx="20">
                  <c:v>2794.648565248282</c:v>
                </c:pt>
                <c:pt idx="21">
                  <c:v>2652.1260466969807</c:v>
                </c:pt>
                <c:pt idx="22">
                  <c:v>2497.4227873312893</c:v>
                </c:pt>
                <c:pt idx="23">
                  <c:v>2338.6689759148649</c:v>
                </c:pt>
                <c:pt idx="24">
                  <c:v>2175.1498091446365</c:v>
                </c:pt>
                <c:pt idx="25">
                  <c:v>2005.9717828917658</c:v>
                </c:pt>
                <c:pt idx="26">
                  <c:v>1830.0031252597244</c:v>
                </c:pt>
                <c:pt idx="27">
                  <c:v>1645.7887009529761</c:v>
                </c:pt>
                <c:pt idx="28">
                  <c:v>1451.4256407388955</c:v>
                </c:pt>
                <c:pt idx="29">
                  <c:v>1244.3767856406505</c:v>
                </c:pt>
                <c:pt idx="30">
                  <c:v>1021.1823734171044</c:v>
                </c:pt>
                <c:pt idx="31">
                  <c:v>776.99873693066775</c:v>
                </c:pt>
                <c:pt idx="32">
                  <c:v>504.82946809370901</c:v>
                </c:pt>
                <c:pt idx="33">
                  <c:v>329.88733263190238</c:v>
                </c:pt>
                <c:pt idx="34">
                  <c:v>-1.3925376674706058E-4</c:v>
                </c:pt>
                <c:pt idx="35">
                  <c:v>-35.733958518404165</c:v>
                </c:pt>
                <c:pt idx="36">
                  <c:v>-483.81291641578241</c:v>
                </c:pt>
                <c:pt idx="37">
                  <c:v>-927.56622622151133</c:v>
                </c:pt>
                <c:pt idx="38">
                  <c:v>-1031.474655486549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67-4491-882C-E2D63CFCFA24}"/>
            </c:ext>
          </c:extLst>
        </c:ser>
        <c:ser>
          <c:idx val="7"/>
          <c:order val="5"/>
          <c:tx>
            <c:v>ϕPn-ϕMn Positif Tanpa CS</c:v>
          </c:tx>
          <c:spPr>
            <a:ln w="31750" cap="rnd" cmpd="dbl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'Kapasitas P1 tanpa CS'!$X$35:$X$73</c:f>
              <c:numCache>
                <c:formatCode>0.000</c:formatCode>
                <c:ptCount val="39"/>
                <c:pt idx="0" formatCode="General">
                  <c:v>0</c:v>
                </c:pt>
                <c:pt idx="1">
                  <c:v>265.6531623497832</c:v>
                </c:pt>
                <c:pt idx="2">
                  <c:v>267.2938903900299</c:v>
                </c:pt>
                <c:pt idx="3">
                  <c:v>268.76634250691814</c:v>
                </c:pt>
                <c:pt idx="4">
                  <c:v>270.0721377625901</c:v>
                </c:pt>
                <c:pt idx="5">
                  <c:v>271.21303369160796</c:v>
                </c:pt>
                <c:pt idx="6">
                  <c:v>272.19094142819307</c:v>
                </c:pt>
                <c:pt idx="7">
                  <c:v>273.00794286082709</c:v>
                </c:pt>
                <c:pt idx="8">
                  <c:v>273.66631013845057</c:v>
                </c:pt>
                <c:pt idx="9">
                  <c:v>274.16852791314238</c:v>
                </c:pt>
                <c:pt idx="10">
                  <c:v>274.51731877788001</c:v>
                </c:pt>
                <c:pt idx="11">
                  <c:v>274.71567244797126</c:v>
                </c:pt>
                <c:pt idx="12">
                  <c:v>274.76687934509891</c:v>
                </c:pt>
                <c:pt idx="13">
                  <c:v>274.6745693788971</c:v>
                </c:pt>
                <c:pt idx="14">
                  <c:v>274.03688607823187</c:v>
                </c:pt>
                <c:pt idx="15">
                  <c:v>272.53285971383497</c:v>
                </c:pt>
                <c:pt idx="16">
                  <c:v>270.83514739650491</c:v>
                </c:pt>
                <c:pt idx="17">
                  <c:v>268.94378108738505</c:v>
                </c:pt>
                <c:pt idx="18">
                  <c:v>266.85879653344904</c:v>
                </c:pt>
                <c:pt idx="19">
                  <c:v>264.5802338451507</c:v>
                </c:pt>
                <c:pt idx="20">
                  <c:v>262.10813818317087</c:v>
                </c:pt>
                <c:pt idx="21">
                  <c:v>259.44256057907859</c:v>
                </c:pt>
                <c:pt idx="22">
                  <c:v>259.05523718875065</c:v>
                </c:pt>
                <c:pt idx="23">
                  <c:v>259.95162998027627</c:v>
                </c:pt>
                <c:pt idx="24">
                  <c:v>260.39124751143595</c:v>
                </c:pt>
                <c:pt idx="25">
                  <c:v>260.26683789284738</c:v>
                </c:pt>
                <c:pt idx="26">
                  <c:v>259.42760934225896</c:v>
                </c:pt>
                <c:pt idx="27">
                  <c:v>257.65796361986378</c:v>
                </c:pt>
                <c:pt idx="28">
                  <c:v>254.64357273761945</c:v>
                </c:pt>
                <c:pt idx="29">
                  <c:v>244.26142069953747</c:v>
                </c:pt>
                <c:pt idx="30">
                  <c:v>222.18339212877351</c:v>
                </c:pt>
                <c:pt idx="31">
                  <c:v>197.31590834043865</c:v>
                </c:pt>
                <c:pt idx="32">
                  <c:v>168.9411378647419</c:v>
                </c:pt>
                <c:pt idx="33">
                  <c:v>149.90591046513742</c:v>
                </c:pt>
                <c:pt idx="34">
                  <c:v>114.51821545482304</c:v>
                </c:pt>
                <c:pt idx="35">
                  <c:v>110.67104088369447</c:v>
                </c:pt>
                <c:pt idx="36">
                  <c:v>62.340053885803634</c:v>
                </c:pt>
                <c:pt idx="37">
                  <c:v>13.816917573917653</c:v>
                </c:pt>
                <c:pt idx="38">
                  <c:v>-2.2114007846539607E-6</c:v>
                </c:pt>
              </c:numCache>
            </c:numRef>
          </c:xVal>
          <c:yVal>
            <c:numRef>
              <c:f>'Kapasitas P1 tanpa CS'!$W$35:$W$73</c:f>
              <c:numCache>
                <c:formatCode>0.000</c:formatCode>
                <c:ptCount val="39"/>
                <c:pt idx="0">
                  <c:v>4372.5334256720262</c:v>
                </c:pt>
                <c:pt idx="1">
                  <c:v>3166.8664380156424</c:v>
                </c:pt>
                <c:pt idx="2">
                  <c:v>3105.8776511967249</c:v>
                </c:pt>
                <c:pt idx="3">
                  <c:v>3044.436575763209</c:v>
                </c:pt>
                <c:pt idx="4">
                  <c:v>2982.5148071161102</c:v>
                </c:pt>
                <c:pt idx="5">
                  <c:v>2920.0815113157419</c:v>
                </c:pt>
                <c:pt idx="6">
                  <c:v>2857.1031596915509</c:v>
                </c:pt>
                <c:pt idx="7">
                  <c:v>2793.5432278842136</c:v>
                </c:pt>
                <c:pt idx="8">
                  <c:v>2729.3618536316126</c:v>
                </c:pt>
                <c:pt idx="9">
                  <c:v>2664.5154465464016</c:v>
                </c:pt>
                <c:pt idx="10">
                  <c:v>2598.9562418394976</c:v>
                </c:pt>
                <c:pt idx="11">
                  <c:v>2532.6317883651541</c:v>
                </c:pt>
                <c:pt idx="12">
                  <c:v>2465.4843594271806</c:v>
                </c:pt>
                <c:pt idx="13">
                  <c:v>2397.4502724004155</c:v>
                </c:pt>
                <c:pt idx="14">
                  <c:v>2324.8988299946709</c:v>
                </c:pt>
                <c:pt idx="15">
                  <c:v>2244.8973754683657</c:v>
                </c:pt>
                <c:pt idx="16">
                  <c:v>2163.2161782709904</c:v>
                </c:pt>
                <c:pt idx="17">
                  <c:v>2079.7103048534927</c:v>
                </c:pt>
                <c:pt idx="18">
                  <c:v>1994.2176541393696</c:v>
                </c:pt>
                <c:pt idx="19">
                  <c:v>1906.5563380662536</c:v>
                </c:pt>
                <c:pt idx="20">
                  <c:v>1816.5215674113833</c:v>
                </c:pt>
                <c:pt idx="21">
                  <c:v>1723.8819303530374</c:v>
                </c:pt>
                <c:pt idx="22">
                  <c:v>1667.1392466307991</c:v>
                </c:pt>
                <c:pt idx="23">
                  <c:v>1617.5793750077814</c:v>
                </c:pt>
                <c:pt idx="24">
                  <c:v>1563.1223628460966</c:v>
                </c:pt>
                <c:pt idx="25">
                  <c:v>1502.389283228312</c:v>
                </c:pt>
                <c:pt idx="26">
                  <c:v>1433.5024481201174</c:v>
                </c:pt>
                <c:pt idx="27">
                  <c:v>1353.8571337601268</c:v>
                </c:pt>
                <c:pt idx="28">
                  <c:v>1259.7630240772207</c:v>
                </c:pt>
                <c:pt idx="29">
                  <c:v>1119.9391070765855</c:v>
                </c:pt>
                <c:pt idx="30">
                  <c:v>919.064136075394</c:v>
                </c:pt>
                <c:pt idx="31">
                  <c:v>699.29886323760104</c:v>
                </c:pt>
                <c:pt idx="32">
                  <c:v>454.34652128433811</c:v>
                </c:pt>
                <c:pt idx="33">
                  <c:v>296.89859936871215</c:v>
                </c:pt>
                <c:pt idx="34">
                  <c:v>-1.2532839007235453E-4</c:v>
                </c:pt>
                <c:pt idx="35">
                  <c:v>-32.160562666563749</c:v>
                </c:pt>
                <c:pt idx="36">
                  <c:v>-435.43162477420418</c:v>
                </c:pt>
                <c:pt idx="37">
                  <c:v>-834.80960359936023</c:v>
                </c:pt>
                <c:pt idx="38">
                  <c:v>-928.3271899378941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F99-4C18-A3C8-E46E2ABAF02D}"/>
            </c:ext>
          </c:extLst>
        </c:ser>
        <c:ser>
          <c:idx val="4"/>
          <c:order val="6"/>
          <c:tx>
            <c:v>Pn-Mn Negatif Tanpa CS</c:v>
          </c:tx>
          <c:spPr>
            <a:ln w="19050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P1 tanpa CS'!$U$78:$U$119</c:f>
              <c:numCache>
                <c:formatCode>0.000</c:formatCode>
                <c:ptCount val="42"/>
                <c:pt idx="0" formatCode="General">
                  <c:v>0</c:v>
                </c:pt>
                <c:pt idx="1">
                  <c:v>-280.05371618414193</c:v>
                </c:pt>
                <c:pt idx="2">
                  <c:v>-289.84863472195644</c:v>
                </c:pt>
                <c:pt idx="3">
                  <c:v>-299.31406170699057</c:v>
                </c:pt>
                <c:pt idx="4">
                  <c:v>-308.45839869058159</c:v>
                </c:pt>
                <c:pt idx="5">
                  <c:v>-317.29076577779961</c:v>
                </c:pt>
                <c:pt idx="6">
                  <c:v>-325.82108012491443</c:v>
                </c:pt>
                <c:pt idx="7">
                  <c:v>-334.0601449571401</c:v>
                </c:pt>
                <c:pt idx="8">
                  <c:v>-342.01975078916649</c:v>
                </c:pt>
                <c:pt idx="9">
                  <c:v>-349.71279084568977</c:v>
                </c:pt>
                <c:pt idx="10">
                  <c:v>-357.15339306169011</c:v>
                </c:pt>
                <c:pt idx="11">
                  <c:v>-364.35707150916483</c:v>
                </c:pt>
                <c:pt idx="12">
                  <c:v>-371.34090066967366</c:v>
                </c:pt>
                <c:pt idx="13">
                  <c:v>-378.12371667763563</c:v>
                </c:pt>
                <c:pt idx="14">
                  <c:v>-384.7263505330298</c:v>
                </c:pt>
                <c:pt idx="15">
                  <c:v>-391.17189936972375</c:v>
                </c:pt>
                <c:pt idx="16">
                  <c:v>-397.486043226878</c:v>
                </c:pt>
                <c:pt idx="17">
                  <c:v>-403.69741648444125</c:v>
                </c:pt>
                <c:pt idx="18">
                  <c:v>-409.83804529401914</c:v>
                </c:pt>
                <c:pt idx="19">
                  <c:v>-415.94386510271852</c:v>
                </c:pt>
                <c:pt idx="20">
                  <c:v>-422.05533591757256</c:v>
                </c:pt>
                <c:pt idx="21">
                  <c:v>-428.21817754652841</c:v>
                </c:pt>
                <c:pt idx="22">
                  <c:v>-422.11551233338116</c:v>
                </c:pt>
                <c:pt idx="23">
                  <c:v>-414.72671156698715</c:v>
                </c:pt>
                <c:pt idx="24">
                  <c:v>-406.01830966979713</c:v>
                </c:pt>
                <c:pt idx="25">
                  <c:v>-395.94847466987471</c:v>
                </c:pt>
                <c:pt idx="26">
                  <c:v>-384.46421940276701</c:v>
                </c:pt>
                <c:pt idx="27">
                  <c:v>-371.49741751417764</c:v>
                </c:pt>
                <c:pt idx="28">
                  <c:v>-361.05038990474736</c:v>
                </c:pt>
                <c:pt idx="29">
                  <c:v>-344.82153374164562</c:v>
                </c:pt>
                <c:pt idx="30">
                  <c:v>-326.74027949049685</c:v>
                </c:pt>
                <c:pt idx="31">
                  <c:v>-306.57985690902757</c:v>
                </c:pt>
                <c:pt idx="32">
                  <c:v>-291.96993377365499</c:v>
                </c:pt>
                <c:pt idx="33">
                  <c:v>-284.01270898062006</c:v>
                </c:pt>
                <c:pt idx="34">
                  <c:v>-260.19638889111758</c:v>
                </c:pt>
                <c:pt idx="35">
                  <c:v>-242.64250076735718</c:v>
                </c:pt>
                <c:pt idx="36">
                  <c:v>-223.99211536312856</c:v>
                </c:pt>
                <c:pt idx="37">
                  <c:v>-204.24523267843156</c:v>
                </c:pt>
                <c:pt idx="38">
                  <c:v>-183.40185271326632</c:v>
                </c:pt>
                <c:pt idx="39">
                  <c:v>-161.4619754676327</c:v>
                </c:pt>
                <c:pt idx="40">
                  <c:v>-138.42560094153072</c:v>
                </c:pt>
                <c:pt idx="41">
                  <c:v>-114.29272913496057</c:v>
                </c:pt>
              </c:numCache>
            </c:numRef>
          </c:xVal>
          <c:yVal>
            <c:numRef>
              <c:f>'Kapasitas P1 tanpa CS'!$T$78:$T$119</c:f>
              <c:numCache>
                <c:formatCode>0.000</c:formatCode>
                <c:ptCount val="42"/>
                <c:pt idx="0">
                  <c:v>6726.9745010338866</c:v>
                </c:pt>
                <c:pt idx="1">
                  <c:v>5324.6958912130167</c:v>
                </c:pt>
                <c:pt idx="2">
                  <c:v>5189.9433361659912</c:v>
                </c:pt>
                <c:pt idx="3">
                  <c:v>5053.5911201376839</c:v>
                </c:pt>
                <c:pt idx="4">
                  <c:v>4915.538781327341</c:v>
                </c:pt>
                <c:pt idx="5">
                  <c:v>4775.6772658065065</c:v>
                </c:pt>
                <c:pt idx="6">
                  <c:v>4633.8879888832334</c:v>
                </c:pt>
                <c:pt idx="7">
                  <c:v>4490.0417706697317</c:v>
                </c:pt>
                <c:pt idx="8">
                  <c:v>4343.997625734858</c:v>
                </c:pt>
                <c:pt idx="9">
                  <c:v>4195.6013829596677</c:v>
                </c:pt>
                <c:pt idx="10">
                  <c:v>4044.6841071401614</c:v>
                </c:pt>
                <c:pt idx="11">
                  <c:v>3891.060288297605</c:v>
                </c:pt>
                <c:pt idx="12">
                  <c:v>3734.5257578093706</c:v>
                </c:pt>
                <c:pt idx="13">
                  <c:v>3574.8552820362092</c:v>
                </c:pt>
                <c:pt idx="14">
                  <c:v>3411.799773674431</c:v>
                </c:pt>
                <c:pt idx="15">
                  <c:v>3245.083048056762</c:v>
                </c:pt>
                <c:pt idx="16">
                  <c:v>3074.3980353488391</c:v>
                </c:pt>
                <c:pt idx="17">
                  <c:v>2899.4023390981833</c:v>
                </c:pt>
                <c:pt idx="18">
                  <c:v>2719.7130056415435</c:v>
                </c:pt>
                <c:pt idx="19">
                  <c:v>2534.9003357980941</c:v>
                </c:pt>
                <c:pt idx="20">
                  <c:v>2344.4805278267058</c:v>
                </c:pt>
                <c:pt idx="21">
                  <c:v>2147.9068857599041</c:v>
                </c:pt>
                <c:pt idx="22">
                  <c:v>1970.663327857075</c:v>
                </c:pt>
                <c:pt idx="23">
                  <c:v>1790.0927827125179</c:v>
                </c:pt>
                <c:pt idx="24">
                  <c:v>1605.6081349306337</c:v>
                </c:pt>
                <c:pt idx="25">
                  <c:v>1416.4754902669229</c:v>
                </c:pt>
                <c:pt idx="26">
                  <c:v>1221.76524934502</c:v>
                </c:pt>
                <c:pt idx="27">
                  <c:v>1020.2822129667414</c:v>
                </c:pt>
                <c:pt idx="28">
                  <c:v>882.2425372836816</c:v>
                </c:pt>
                <c:pt idx="29">
                  <c:v>662.00406733390082</c:v>
                </c:pt>
                <c:pt idx="30">
                  <c:v>428.50417970730035</c:v>
                </c:pt>
                <c:pt idx="31">
                  <c:v>177.76444910083518</c:v>
                </c:pt>
                <c:pt idx="32">
                  <c:v>3.4724225662330355E-4</c:v>
                </c:pt>
                <c:pt idx="33">
                  <c:v>-95.961738812118028</c:v>
                </c:pt>
                <c:pt idx="34">
                  <c:v>-372.36643340273338</c:v>
                </c:pt>
                <c:pt idx="35">
                  <c:v>-519.66710613000635</c:v>
                </c:pt>
                <c:pt idx="36">
                  <c:v>-666.96777885727874</c:v>
                </c:pt>
                <c:pt idx="37">
                  <c:v>-814.26845158455183</c:v>
                </c:pt>
                <c:pt idx="38">
                  <c:v>-961.56912431182434</c:v>
                </c:pt>
                <c:pt idx="39">
                  <c:v>-1108.8697970390972</c:v>
                </c:pt>
                <c:pt idx="40">
                  <c:v>-1256.1704697663699</c:v>
                </c:pt>
                <c:pt idx="41">
                  <c:v>-1403.4711424936422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267-4491-882C-E2D63CFCFA24}"/>
            </c:ext>
          </c:extLst>
        </c:ser>
        <c:ser>
          <c:idx val="8"/>
          <c:order val="7"/>
          <c:tx>
            <c:v>ϕPn-ϕMn Negatif Tanpa CS</c:v>
          </c:tx>
          <c:spPr>
            <a:ln w="31750" cap="rnd" cmpd="dbl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'Kapasitas P1 tanpa CS'!$X$78:$X$120</c:f>
              <c:numCache>
                <c:formatCode>0.000</c:formatCode>
                <c:ptCount val="43"/>
                <c:pt idx="0" formatCode="General">
                  <c:v>0</c:v>
                </c:pt>
                <c:pt idx="1">
                  <c:v>-182.03491551969228</c:v>
                </c:pt>
                <c:pt idx="2">
                  <c:v>-188.40161256927169</c:v>
                </c:pt>
                <c:pt idx="3">
                  <c:v>-194.55414010954388</c:v>
                </c:pt>
                <c:pt idx="4">
                  <c:v>-200.49795914887804</c:v>
                </c:pt>
                <c:pt idx="5">
                  <c:v>-206.23899775556976</c:v>
                </c:pt>
                <c:pt idx="6">
                  <c:v>-211.78370208119438</c:v>
                </c:pt>
                <c:pt idx="7">
                  <c:v>-217.13909422214107</c:v>
                </c:pt>
                <c:pt idx="8">
                  <c:v>-222.31283801295822</c:v>
                </c:pt>
                <c:pt idx="9">
                  <c:v>-227.31331404969836</c:v>
                </c:pt>
                <c:pt idx="10">
                  <c:v>-232.14970549009857</c:v>
                </c:pt>
                <c:pt idx="11">
                  <c:v>-236.83209648095715</c:v>
                </c:pt>
                <c:pt idx="12">
                  <c:v>-241.3715854352879</c:v>
                </c:pt>
                <c:pt idx="13">
                  <c:v>-245.78041584046318</c:v>
                </c:pt>
                <c:pt idx="14">
                  <c:v>-250.07212784646939</c:v>
                </c:pt>
                <c:pt idx="15">
                  <c:v>-254.26173459032046</c:v>
                </c:pt>
                <c:pt idx="16">
                  <c:v>-258.36592809747071</c:v>
                </c:pt>
                <c:pt idx="17">
                  <c:v>-262.40332071488683</c:v>
                </c:pt>
                <c:pt idx="18">
                  <c:v>-266.39472944111247</c:v>
                </c:pt>
                <c:pt idx="19">
                  <c:v>-270.36351231676707</c:v>
                </c:pt>
                <c:pt idx="20">
                  <c:v>-274.33596834642219</c:v>
                </c:pt>
                <c:pt idx="21">
                  <c:v>-278.34181540524349</c:v>
                </c:pt>
                <c:pt idx="22">
                  <c:v>-281.78061832079214</c:v>
                </c:pt>
                <c:pt idx="23">
                  <c:v>-286.85264216716615</c:v>
                </c:pt>
                <c:pt idx="24">
                  <c:v>-291.77590292937384</c:v>
                </c:pt>
                <c:pt idx="25">
                  <c:v>-296.54890967462495</c:v>
                </c:pt>
                <c:pt idx="26">
                  <c:v>-301.16363853216751</c:v>
                </c:pt>
                <c:pt idx="27">
                  <c:v>-305.60085178844849</c:v>
                </c:pt>
                <c:pt idx="28">
                  <c:v>-313.3732230327102</c:v>
                </c:pt>
                <c:pt idx="29">
                  <c:v>-310.33938036748106</c:v>
                </c:pt>
                <c:pt idx="30">
                  <c:v>-294.06625154144717</c:v>
                </c:pt>
                <c:pt idx="31">
                  <c:v>-275.92187121812481</c:v>
                </c:pt>
                <c:pt idx="32">
                  <c:v>-262.77294039628947</c:v>
                </c:pt>
                <c:pt idx="33">
                  <c:v>-255.61143808255807</c:v>
                </c:pt>
                <c:pt idx="34">
                  <c:v>-234.17675000200583</c:v>
                </c:pt>
                <c:pt idx="35">
                  <c:v>-218.37825069062146</c:v>
                </c:pt>
                <c:pt idx="36">
                  <c:v>-201.5929038268157</c:v>
                </c:pt>
                <c:pt idx="37">
                  <c:v>-183.82070941058842</c:v>
                </c:pt>
                <c:pt idx="38">
                  <c:v>-165.0616674419397</c:v>
                </c:pt>
                <c:pt idx="39">
                  <c:v>-145.31577792086944</c:v>
                </c:pt>
                <c:pt idx="40">
                  <c:v>-124.58304084737765</c:v>
                </c:pt>
                <c:pt idx="41">
                  <c:v>-102.86345622146452</c:v>
                </c:pt>
                <c:pt idx="42">
                  <c:v>-80.157024043156241</c:v>
                </c:pt>
              </c:numCache>
            </c:numRef>
          </c:xVal>
          <c:yVal>
            <c:numRef>
              <c:f>'Kapasitas P1 tanpa CS'!$W$78:$W$120</c:f>
              <c:numCache>
                <c:formatCode>0.000</c:formatCode>
                <c:ptCount val="43"/>
                <c:pt idx="0">
                  <c:v>4372.5334256720262</c:v>
                </c:pt>
                <c:pt idx="1">
                  <c:v>3461.0523292884609</c:v>
                </c:pt>
                <c:pt idx="2">
                  <c:v>3373.4631685078944</c:v>
                </c:pt>
                <c:pt idx="3">
                  <c:v>3284.8342280894944</c:v>
                </c:pt>
                <c:pt idx="4">
                  <c:v>3195.1002078627716</c:v>
                </c:pt>
                <c:pt idx="5">
                  <c:v>3104.1902227742294</c:v>
                </c:pt>
                <c:pt idx="6">
                  <c:v>3012.0271927741019</c:v>
                </c:pt>
                <c:pt idx="7">
                  <c:v>2918.5271509353256</c:v>
                </c:pt>
                <c:pt idx="8">
                  <c:v>2823.5984567276578</c:v>
                </c:pt>
                <c:pt idx="9">
                  <c:v>2727.1408989237843</c:v>
                </c:pt>
                <c:pt idx="10">
                  <c:v>2629.044669641105</c:v>
                </c:pt>
                <c:pt idx="11">
                  <c:v>2529.1891873934433</c:v>
                </c:pt>
                <c:pt idx="12">
                  <c:v>2427.4417425760907</c:v>
                </c:pt>
                <c:pt idx="13">
                  <c:v>2323.6559333235359</c:v>
                </c:pt>
                <c:pt idx="14">
                  <c:v>2217.6698528883803</c:v>
                </c:pt>
                <c:pt idx="15">
                  <c:v>2109.3039812368952</c:v>
                </c:pt>
                <c:pt idx="16">
                  <c:v>1998.3587229767454</c:v>
                </c:pt>
                <c:pt idx="17">
                  <c:v>1884.6115204138193</c:v>
                </c:pt>
                <c:pt idx="18">
                  <c:v>1767.8134536670034</c:v>
                </c:pt>
                <c:pt idx="19">
                  <c:v>1647.6852182687612</c:v>
                </c:pt>
                <c:pt idx="20">
                  <c:v>1523.9123430873587</c:v>
                </c:pt>
                <c:pt idx="21">
                  <c:v>1396.1394757439377</c:v>
                </c:pt>
                <c:pt idx="22">
                  <c:v>1315.5042039466964</c:v>
                </c:pt>
                <c:pt idx="23">
                  <c:v>1238.1475080428249</c:v>
                </c:pt>
                <c:pt idx="24">
                  <c:v>1153.8340812785827</c:v>
                </c:pt>
                <c:pt idx="25">
                  <c:v>1060.8811223978309</c:v>
                </c:pt>
                <c:pt idx="26">
                  <c:v>957.0494453202657</c:v>
                </c:pt>
                <c:pt idx="27">
                  <c:v>839.30358233335517</c:v>
                </c:pt>
                <c:pt idx="28">
                  <c:v>765.74127915519534</c:v>
                </c:pt>
                <c:pt idx="29">
                  <c:v>595.80366060051074</c:v>
                </c:pt>
                <c:pt idx="30">
                  <c:v>385.65376173657035</c:v>
                </c:pt>
                <c:pt idx="31">
                  <c:v>159.98800419075167</c:v>
                </c:pt>
                <c:pt idx="32">
                  <c:v>3.1251803096097322E-4</c:v>
                </c:pt>
                <c:pt idx="33">
                  <c:v>-86.365564930906231</c:v>
                </c:pt>
                <c:pt idx="34">
                  <c:v>-335.12979006246007</c:v>
                </c:pt>
                <c:pt idx="35">
                  <c:v>-467.70039551700575</c:v>
                </c:pt>
                <c:pt idx="36">
                  <c:v>-600.27100097155085</c:v>
                </c:pt>
                <c:pt idx="37">
                  <c:v>-732.84160642609663</c:v>
                </c:pt>
                <c:pt idx="38">
                  <c:v>-865.41221188064196</c:v>
                </c:pt>
                <c:pt idx="39">
                  <c:v>-997.98281733518752</c:v>
                </c:pt>
                <c:pt idx="40">
                  <c:v>-1130.5534227897331</c:v>
                </c:pt>
                <c:pt idx="41">
                  <c:v>-1263.124028244278</c:v>
                </c:pt>
                <c:pt idx="42">
                  <c:v>-1395.6946336986725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F99-4C18-A3C8-E46E2ABAF02D}"/>
            </c:ext>
          </c:extLst>
        </c:ser>
        <c:ser>
          <c:idx val="2"/>
          <c:order val="8"/>
          <c:tx>
            <c:v>Gaya P1 Kuat I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'Hasil P1 Kuat I'!$J$2:$J$859</c:f>
              <c:numCache>
                <c:formatCode>General</c:formatCode>
                <c:ptCount val="858"/>
                <c:pt idx="0">
                  <c:v>242.9</c:v>
                </c:pt>
                <c:pt idx="1">
                  <c:v>242.8</c:v>
                </c:pt>
                <c:pt idx="2">
                  <c:v>-11</c:v>
                </c:pt>
                <c:pt idx="3">
                  <c:v>-11.3</c:v>
                </c:pt>
                <c:pt idx="4">
                  <c:v>241.87</c:v>
                </c:pt>
                <c:pt idx="5">
                  <c:v>241.79</c:v>
                </c:pt>
                <c:pt idx="6">
                  <c:v>-9.0500000000000007</c:v>
                </c:pt>
                <c:pt idx="7">
                  <c:v>-9.2799999999999994</c:v>
                </c:pt>
                <c:pt idx="8">
                  <c:v>240.84</c:v>
                </c:pt>
                <c:pt idx="9">
                  <c:v>240.77</c:v>
                </c:pt>
                <c:pt idx="10">
                  <c:v>-7.11</c:v>
                </c:pt>
                <c:pt idx="11">
                  <c:v>-7.28</c:v>
                </c:pt>
                <c:pt idx="12">
                  <c:v>239.8</c:v>
                </c:pt>
                <c:pt idx="13">
                  <c:v>239.76</c:v>
                </c:pt>
                <c:pt idx="14">
                  <c:v>-5.69</c:v>
                </c:pt>
                <c:pt idx="15">
                  <c:v>-5.82</c:v>
                </c:pt>
                <c:pt idx="16">
                  <c:v>238.77</c:v>
                </c:pt>
                <c:pt idx="17">
                  <c:v>238.74</c:v>
                </c:pt>
                <c:pt idx="18">
                  <c:v>-4.6399999999999997</c:v>
                </c:pt>
                <c:pt idx="19">
                  <c:v>-4.71</c:v>
                </c:pt>
                <c:pt idx="20">
                  <c:v>237.74</c:v>
                </c:pt>
                <c:pt idx="21">
                  <c:v>-3.74</c:v>
                </c:pt>
                <c:pt idx="22">
                  <c:v>121.87</c:v>
                </c:pt>
                <c:pt idx="23">
                  <c:v>121.81</c:v>
                </c:pt>
                <c:pt idx="24">
                  <c:v>-6.24</c:v>
                </c:pt>
                <c:pt idx="25">
                  <c:v>-6.41</c:v>
                </c:pt>
                <c:pt idx="26">
                  <c:v>64.03</c:v>
                </c:pt>
                <c:pt idx="27">
                  <c:v>49.08</c:v>
                </c:pt>
                <c:pt idx="28">
                  <c:v>64.84</c:v>
                </c:pt>
                <c:pt idx="29">
                  <c:v>50.06</c:v>
                </c:pt>
                <c:pt idx="30">
                  <c:v>76.94</c:v>
                </c:pt>
                <c:pt idx="31">
                  <c:v>35.25</c:v>
                </c:pt>
                <c:pt idx="32">
                  <c:v>77.760000000000005</c:v>
                </c:pt>
                <c:pt idx="33">
                  <c:v>36.25</c:v>
                </c:pt>
                <c:pt idx="34">
                  <c:v>76.36</c:v>
                </c:pt>
                <c:pt idx="35">
                  <c:v>63.54</c:v>
                </c:pt>
                <c:pt idx="36">
                  <c:v>84.01</c:v>
                </c:pt>
                <c:pt idx="37">
                  <c:v>75.5</c:v>
                </c:pt>
                <c:pt idx="38">
                  <c:v>-35.6</c:v>
                </c:pt>
                <c:pt idx="39">
                  <c:v>62.55</c:v>
                </c:pt>
                <c:pt idx="40">
                  <c:v>84.85</c:v>
                </c:pt>
                <c:pt idx="41">
                  <c:v>58.79</c:v>
                </c:pt>
                <c:pt idx="42">
                  <c:v>44.09</c:v>
                </c:pt>
                <c:pt idx="43">
                  <c:v>84.35</c:v>
                </c:pt>
                <c:pt idx="44">
                  <c:v>-34.24</c:v>
                </c:pt>
                <c:pt idx="45">
                  <c:v>50.06</c:v>
                </c:pt>
                <c:pt idx="46">
                  <c:v>59.49</c:v>
                </c:pt>
                <c:pt idx="47">
                  <c:v>44.77</c:v>
                </c:pt>
                <c:pt idx="48">
                  <c:v>83.49</c:v>
                </c:pt>
                <c:pt idx="49">
                  <c:v>49.08</c:v>
                </c:pt>
                <c:pt idx="50">
                  <c:v>70.8</c:v>
                </c:pt>
                <c:pt idx="51">
                  <c:v>30.23</c:v>
                </c:pt>
                <c:pt idx="52">
                  <c:v>-58.39</c:v>
                </c:pt>
                <c:pt idx="53">
                  <c:v>-58.39</c:v>
                </c:pt>
                <c:pt idx="54">
                  <c:v>-38.700000000000003</c:v>
                </c:pt>
                <c:pt idx="55">
                  <c:v>71.52</c:v>
                </c:pt>
                <c:pt idx="56">
                  <c:v>30.97</c:v>
                </c:pt>
                <c:pt idx="57">
                  <c:v>7.47</c:v>
                </c:pt>
                <c:pt idx="58">
                  <c:v>7.58</c:v>
                </c:pt>
                <c:pt idx="59">
                  <c:v>-57.81</c:v>
                </c:pt>
                <c:pt idx="60">
                  <c:v>-57.86</c:v>
                </c:pt>
                <c:pt idx="61">
                  <c:v>36.92</c:v>
                </c:pt>
                <c:pt idx="62">
                  <c:v>-37.32</c:v>
                </c:pt>
                <c:pt idx="63">
                  <c:v>6.43</c:v>
                </c:pt>
                <c:pt idx="64">
                  <c:v>6.44</c:v>
                </c:pt>
                <c:pt idx="65">
                  <c:v>-57.27</c:v>
                </c:pt>
                <c:pt idx="66">
                  <c:v>70.010000000000005</c:v>
                </c:pt>
                <c:pt idx="67">
                  <c:v>-57.34</c:v>
                </c:pt>
                <c:pt idx="68">
                  <c:v>-43.98</c:v>
                </c:pt>
                <c:pt idx="69">
                  <c:v>58.18</c:v>
                </c:pt>
                <c:pt idx="70">
                  <c:v>35.97</c:v>
                </c:pt>
                <c:pt idx="71">
                  <c:v>-30.04</c:v>
                </c:pt>
                <c:pt idx="72">
                  <c:v>5.4</c:v>
                </c:pt>
                <c:pt idx="73">
                  <c:v>5.42</c:v>
                </c:pt>
                <c:pt idx="74">
                  <c:v>69.349999999999994</c:v>
                </c:pt>
                <c:pt idx="75">
                  <c:v>77.72</c:v>
                </c:pt>
                <c:pt idx="76">
                  <c:v>57.43</c:v>
                </c:pt>
                <c:pt idx="77">
                  <c:v>-56.77</c:v>
                </c:pt>
                <c:pt idx="78">
                  <c:v>-38.58</c:v>
                </c:pt>
                <c:pt idx="79">
                  <c:v>-56.83</c:v>
                </c:pt>
                <c:pt idx="80">
                  <c:v>-28.97</c:v>
                </c:pt>
                <c:pt idx="81">
                  <c:v>-42.51</c:v>
                </c:pt>
                <c:pt idx="82">
                  <c:v>78.37</c:v>
                </c:pt>
                <c:pt idx="83">
                  <c:v>-4.45</c:v>
                </c:pt>
                <c:pt idx="84">
                  <c:v>53.84</c:v>
                </c:pt>
                <c:pt idx="85">
                  <c:v>39.21</c:v>
                </c:pt>
                <c:pt idx="86">
                  <c:v>4.42</c:v>
                </c:pt>
                <c:pt idx="87">
                  <c:v>44.77</c:v>
                </c:pt>
                <c:pt idx="88">
                  <c:v>77.88</c:v>
                </c:pt>
                <c:pt idx="89">
                  <c:v>-56.31</c:v>
                </c:pt>
                <c:pt idx="90">
                  <c:v>-56.34</c:v>
                </c:pt>
                <c:pt idx="91">
                  <c:v>-37.200000000000003</c:v>
                </c:pt>
                <c:pt idx="92">
                  <c:v>54.32</c:v>
                </c:pt>
                <c:pt idx="93">
                  <c:v>39.67</c:v>
                </c:pt>
                <c:pt idx="94">
                  <c:v>-32.71</c:v>
                </c:pt>
                <c:pt idx="95">
                  <c:v>77.22</c:v>
                </c:pt>
                <c:pt idx="96">
                  <c:v>-55.87</c:v>
                </c:pt>
                <c:pt idx="97">
                  <c:v>44.05</c:v>
                </c:pt>
                <c:pt idx="98">
                  <c:v>-3.97</c:v>
                </c:pt>
                <c:pt idx="99">
                  <c:v>-3.96</c:v>
                </c:pt>
                <c:pt idx="100">
                  <c:v>25.2</c:v>
                </c:pt>
                <c:pt idx="101">
                  <c:v>-3.73</c:v>
                </c:pt>
                <c:pt idx="102">
                  <c:v>-33.35</c:v>
                </c:pt>
                <c:pt idx="103">
                  <c:v>-33.96</c:v>
                </c:pt>
                <c:pt idx="104">
                  <c:v>-36.92</c:v>
                </c:pt>
                <c:pt idx="105">
                  <c:v>-36.47</c:v>
                </c:pt>
                <c:pt idx="106">
                  <c:v>65.930000000000007</c:v>
                </c:pt>
                <c:pt idx="107">
                  <c:v>25.69</c:v>
                </c:pt>
                <c:pt idx="108">
                  <c:v>-28.84</c:v>
                </c:pt>
                <c:pt idx="109">
                  <c:v>-40.200000000000003</c:v>
                </c:pt>
                <c:pt idx="110">
                  <c:v>66.44</c:v>
                </c:pt>
                <c:pt idx="111">
                  <c:v>-32.22</c:v>
                </c:pt>
                <c:pt idx="112">
                  <c:v>31.54</c:v>
                </c:pt>
                <c:pt idx="113">
                  <c:v>-35.22</c:v>
                </c:pt>
                <c:pt idx="114">
                  <c:v>-35.659999999999997</c:v>
                </c:pt>
                <c:pt idx="115">
                  <c:v>-34.26</c:v>
                </c:pt>
                <c:pt idx="116">
                  <c:v>-38.94</c:v>
                </c:pt>
                <c:pt idx="117">
                  <c:v>-30.08</c:v>
                </c:pt>
                <c:pt idx="118">
                  <c:v>-32.42</c:v>
                </c:pt>
                <c:pt idx="119">
                  <c:v>30.82</c:v>
                </c:pt>
                <c:pt idx="120">
                  <c:v>-24.66</c:v>
                </c:pt>
                <c:pt idx="121">
                  <c:v>-32.9</c:v>
                </c:pt>
                <c:pt idx="122">
                  <c:v>-31.47</c:v>
                </c:pt>
                <c:pt idx="123">
                  <c:v>52.85</c:v>
                </c:pt>
                <c:pt idx="124">
                  <c:v>-33.47</c:v>
                </c:pt>
                <c:pt idx="125">
                  <c:v>63.66</c:v>
                </c:pt>
                <c:pt idx="126">
                  <c:v>-23.87</c:v>
                </c:pt>
                <c:pt idx="127">
                  <c:v>-31.18</c:v>
                </c:pt>
                <c:pt idx="128">
                  <c:v>63.2</c:v>
                </c:pt>
                <c:pt idx="129">
                  <c:v>52.41</c:v>
                </c:pt>
                <c:pt idx="130">
                  <c:v>72.34</c:v>
                </c:pt>
                <c:pt idx="131">
                  <c:v>-32.31</c:v>
                </c:pt>
                <c:pt idx="132">
                  <c:v>34.24</c:v>
                </c:pt>
                <c:pt idx="133">
                  <c:v>-30.18</c:v>
                </c:pt>
                <c:pt idx="134">
                  <c:v>-45.91</c:v>
                </c:pt>
                <c:pt idx="135">
                  <c:v>26.56</c:v>
                </c:pt>
                <c:pt idx="136">
                  <c:v>72.87</c:v>
                </c:pt>
                <c:pt idx="137">
                  <c:v>34.54</c:v>
                </c:pt>
                <c:pt idx="138">
                  <c:v>39.6</c:v>
                </c:pt>
                <c:pt idx="139">
                  <c:v>-27.66</c:v>
                </c:pt>
                <c:pt idx="140">
                  <c:v>48.88</c:v>
                </c:pt>
                <c:pt idx="141">
                  <c:v>34.72</c:v>
                </c:pt>
                <c:pt idx="142">
                  <c:v>27.07</c:v>
                </c:pt>
                <c:pt idx="143">
                  <c:v>-44.78</c:v>
                </c:pt>
                <c:pt idx="144">
                  <c:v>34.799999999999997</c:v>
                </c:pt>
                <c:pt idx="145">
                  <c:v>-31.84</c:v>
                </c:pt>
                <c:pt idx="146">
                  <c:v>71.819999999999993</c:v>
                </c:pt>
                <c:pt idx="147">
                  <c:v>49.14</c:v>
                </c:pt>
                <c:pt idx="148">
                  <c:v>-24.92</c:v>
                </c:pt>
                <c:pt idx="149">
                  <c:v>40.79</c:v>
                </c:pt>
                <c:pt idx="150">
                  <c:v>-36.979999999999997</c:v>
                </c:pt>
                <c:pt idx="151">
                  <c:v>39.17</c:v>
                </c:pt>
                <c:pt idx="152">
                  <c:v>19.52</c:v>
                </c:pt>
                <c:pt idx="153">
                  <c:v>-32.03</c:v>
                </c:pt>
                <c:pt idx="154">
                  <c:v>-28.72</c:v>
                </c:pt>
                <c:pt idx="155">
                  <c:v>71.3</c:v>
                </c:pt>
                <c:pt idx="156">
                  <c:v>41.27</c:v>
                </c:pt>
                <c:pt idx="157">
                  <c:v>-28.08</c:v>
                </c:pt>
                <c:pt idx="158">
                  <c:v>-30.79</c:v>
                </c:pt>
                <c:pt idx="159">
                  <c:v>21.06</c:v>
                </c:pt>
                <c:pt idx="160">
                  <c:v>20.11</c:v>
                </c:pt>
                <c:pt idx="161">
                  <c:v>-35.950000000000003</c:v>
                </c:pt>
                <c:pt idx="162">
                  <c:v>-25.96</c:v>
                </c:pt>
                <c:pt idx="163">
                  <c:v>-30.97</c:v>
                </c:pt>
                <c:pt idx="164">
                  <c:v>-27.29</c:v>
                </c:pt>
                <c:pt idx="165">
                  <c:v>21.3</c:v>
                </c:pt>
                <c:pt idx="166">
                  <c:v>40.57</c:v>
                </c:pt>
                <c:pt idx="167">
                  <c:v>-29.51</c:v>
                </c:pt>
                <c:pt idx="168">
                  <c:v>33.79</c:v>
                </c:pt>
                <c:pt idx="169">
                  <c:v>61.06</c:v>
                </c:pt>
                <c:pt idx="170">
                  <c:v>-28.11</c:v>
                </c:pt>
                <c:pt idx="171">
                  <c:v>44.38</c:v>
                </c:pt>
                <c:pt idx="172">
                  <c:v>26.8</c:v>
                </c:pt>
                <c:pt idx="173">
                  <c:v>40.07</c:v>
                </c:pt>
                <c:pt idx="174">
                  <c:v>33.229999999999997</c:v>
                </c:pt>
                <c:pt idx="175">
                  <c:v>-19.920000000000002</c:v>
                </c:pt>
                <c:pt idx="176">
                  <c:v>61.36</c:v>
                </c:pt>
                <c:pt idx="177">
                  <c:v>44.87</c:v>
                </c:pt>
                <c:pt idx="178">
                  <c:v>-28.5</c:v>
                </c:pt>
                <c:pt idx="179">
                  <c:v>44.61</c:v>
                </c:pt>
                <c:pt idx="180">
                  <c:v>-27.12</c:v>
                </c:pt>
                <c:pt idx="181">
                  <c:v>-27.08</c:v>
                </c:pt>
                <c:pt idx="182">
                  <c:v>27.02</c:v>
                </c:pt>
                <c:pt idx="183">
                  <c:v>26.38</c:v>
                </c:pt>
                <c:pt idx="184">
                  <c:v>-19.16</c:v>
                </c:pt>
                <c:pt idx="185">
                  <c:v>-42.72</c:v>
                </c:pt>
                <c:pt idx="186">
                  <c:v>-49.07</c:v>
                </c:pt>
                <c:pt idx="187">
                  <c:v>-39.4</c:v>
                </c:pt>
                <c:pt idx="188">
                  <c:v>-19.440000000000001</c:v>
                </c:pt>
                <c:pt idx="189">
                  <c:v>44.11</c:v>
                </c:pt>
                <c:pt idx="190">
                  <c:v>-48.39</c:v>
                </c:pt>
                <c:pt idx="191">
                  <c:v>-28.43</c:v>
                </c:pt>
                <c:pt idx="192">
                  <c:v>26.43</c:v>
                </c:pt>
                <c:pt idx="193">
                  <c:v>-41.77</c:v>
                </c:pt>
                <c:pt idx="194">
                  <c:v>-26.12</c:v>
                </c:pt>
                <c:pt idx="195">
                  <c:v>-18.84</c:v>
                </c:pt>
                <c:pt idx="196">
                  <c:v>-40.51</c:v>
                </c:pt>
                <c:pt idx="197">
                  <c:v>-27.5</c:v>
                </c:pt>
                <c:pt idx="198">
                  <c:v>-21.36</c:v>
                </c:pt>
                <c:pt idx="199">
                  <c:v>49.33</c:v>
                </c:pt>
                <c:pt idx="200">
                  <c:v>60.18</c:v>
                </c:pt>
                <c:pt idx="201">
                  <c:v>-21.02</c:v>
                </c:pt>
                <c:pt idx="202">
                  <c:v>20.55</c:v>
                </c:pt>
                <c:pt idx="203">
                  <c:v>31.97</c:v>
                </c:pt>
                <c:pt idx="204">
                  <c:v>-33.840000000000003</c:v>
                </c:pt>
                <c:pt idx="205">
                  <c:v>49.11</c:v>
                </c:pt>
                <c:pt idx="206">
                  <c:v>32</c:v>
                </c:pt>
                <c:pt idx="207">
                  <c:v>-20.59</c:v>
                </c:pt>
                <c:pt idx="208">
                  <c:v>59.85</c:v>
                </c:pt>
                <c:pt idx="209">
                  <c:v>-27.23</c:v>
                </c:pt>
                <c:pt idx="210">
                  <c:v>45.71</c:v>
                </c:pt>
                <c:pt idx="211">
                  <c:v>45.76</c:v>
                </c:pt>
                <c:pt idx="212">
                  <c:v>19.98</c:v>
                </c:pt>
                <c:pt idx="213">
                  <c:v>18.57</c:v>
                </c:pt>
                <c:pt idx="214">
                  <c:v>-33.07</c:v>
                </c:pt>
                <c:pt idx="215">
                  <c:v>67.66</c:v>
                </c:pt>
                <c:pt idx="216">
                  <c:v>-22.72</c:v>
                </c:pt>
                <c:pt idx="217">
                  <c:v>-21.85</c:v>
                </c:pt>
                <c:pt idx="218">
                  <c:v>18.59</c:v>
                </c:pt>
                <c:pt idx="219">
                  <c:v>-26.39</c:v>
                </c:pt>
                <c:pt idx="220">
                  <c:v>-23.54</c:v>
                </c:pt>
                <c:pt idx="221">
                  <c:v>67.97</c:v>
                </c:pt>
                <c:pt idx="222">
                  <c:v>-29.54</c:v>
                </c:pt>
                <c:pt idx="223">
                  <c:v>-27.13</c:v>
                </c:pt>
                <c:pt idx="224">
                  <c:v>-29.5</c:v>
                </c:pt>
                <c:pt idx="225">
                  <c:v>-46.6</c:v>
                </c:pt>
                <c:pt idx="226">
                  <c:v>35.840000000000003</c:v>
                </c:pt>
                <c:pt idx="227">
                  <c:v>-21.23</c:v>
                </c:pt>
                <c:pt idx="228">
                  <c:v>-23.54</c:v>
                </c:pt>
                <c:pt idx="229">
                  <c:v>4.1399999999999997</c:v>
                </c:pt>
                <c:pt idx="230">
                  <c:v>-45.98</c:v>
                </c:pt>
                <c:pt idx="231">
                  <c:v>-56.66</c:v>
                </c:pt>
                <c:pt idx="232">
                  <c:v>4.2300000000000004</c:v>
                </c:pt>
                <c:pt idx="233">
                  <c:v>-41.37</c:v>
                </c:pt>
                <c:pt idx="234">
                  <c:v>-23.07</c:v>
                </c:pt>
                <c:pt idx="235">
                  <c:v>35.65</c:v>
                </c:pt>
                <c:pt idx="236">
                  <c:v>-56.27</c:v>
                </c:pt>
                <c:pt idx="237">
                  <c:v>-26.28</c:v>
                </c:pt>
                <c:pt idx="238">
                  <c:v>-22.73</c:v>
                </c:pt>
                <c:pt idx="239">
                  <c:v>-18.25</c:v>
                </c:pt>
                <c:pt idx="240">
                  <c:v>-23.81</c:v>
                </c:pt>
                <c:pt idx="241">
                  <c:v>-20.45</c:v>
                </c:pt>
                <c:pt idx="242">
                  <c:v>-41.97</c:v>
                </c:pt>
                <c:pt idx="243">
                  <c:v>-24.94</c:v>
                </c:pt>
                <c:pt idx="244">
                  <c:v>-39.979999999999997</c:v>
                </c:pt>
                <c:pt idx="245">
                  <c:v>67.209999999999994</c:v>
                </c:pt>
                <c:pt idx="246">
                  <c:v>-22.48</c:v>
                </c:pt>
                <c:pt idx="247">
                  <c:v>-36.770000000000003</c:v>
                </c:pt>
                <c:pt idx="248">
                  <c:v>66.89</c:v>
                </c:pt>
                <c:pt idx="249">
                  <c:v>-39.17</c:v>
                </c:pt>
                <c:pt idx="250">
                  <c:v>-23.03</c:v>
                </c:pt>
                <c:pt idx="251">
                  <c:v>57.07</c:v>
                </c:pt>
                <c:pt idx="252">
                  <c:v>-18.95</c:v>
                </c:pt>
                <c:pt idx="253">
                  <c:v>-20.3</c:v>
                </c:pt>
                <c:pt idx="254">
                  <c:v>-22.87</c:v>
                </c:pt>
                <c:pt idx="255">
                  <c:v>57.14</c:v>
                </c:pt>
                <c:pt idx="256">
                  <c:v>-15.94</c:v>
                </c:pt>
                <c:pt idx="257">
                  <c:v>-19.98</c:v>
                </c:pt>
                <c:pt idx="258">
                  <c:v>-24.16</c:v>
                </c:pt>
                <c:pt idx="259">
                  <c:v>-37.72</c:v>
                </c:pt>
                <c:pt idx="260">
                  <c:v>-15.63</c:v>
                </c:pt>
                <c:pt idx="261">
                  <c:v>22.89</c:v>
                </c:pt>
                <c:pt idx="262">
                  <c:v>-15.91</c:v>
                </c:pt>
                <c:pt idx="263">
                  <c:v>-19.600000000000001</c:v>
                </c:pt>
                <c:pt idx="264">
                  <c:v>-22.07</c:v>
                </c:pt>
                <c:pt idx="265">
                  <c:v>-18.920000000000002</c:v>
                </c:pt>
                <c:pt idx="266">
                  <c:v>-19.28</c:v>
                </c:pt>
                <c:pt idx="267">
                  <c:v>-55.14</c:v>
                </c:pt>
                <c:pt idx="268">
                  <c:v>44.15</c:v>
                </c:pt>
                <c:pt idx="269">
                  <c:v>-54.72</c:v>
                </c:pt>
                <c:pt idx="270">
                  <c:v>22.71</c:v>
                </c:pt>
                <c:pt idx="271">
                  <c:v>30.77</c:v>
                </c:pt>
                <c:pt idx="272">
                  <c:v>-17.84</c:v>
                </c:pt>
                <c:pt idx="273">
                  <c:v>-16.59</c:v>
                </c:pt>
                <c:pt idx="274">
                  <c:v>-44.41</c:v>
                </c:pt>
                <c:pt idx="275">
                  <c:v>-44.81</c:v>
                </c:pt>
                <c:pt idx="276">
                  <c:v>-23.47</c:v>
                </c:pt>
                <c:pt idx="277">
                  <c:v>-18.149999999999999</c:v>
                </c:pt>
                <c:pt idx="278">
                  <c:v>-45.06</c:v>
                </c:pt>
                <c:pt idx="279">
                  <c:v>-43.92</c:v>
                </c:pt>
                <c:pt idx="280">
                  <c:v>17.73</c:v>
                </c:pt>
                <c:pt idx="281">
                  <c:v>-17.39</c:v>
                </c:pt>
                <c:pt idx="282">
                  <c:v>-30.79</c:v>
                </c:pt>
                <c:pt idx="283">
                  <c:v>-17.36</c:v>
                </c:pt>
                <c:pt idx="284">
                  <c:v>-39.299999999999997</c:v>
                </c:pt>
                <c:pt idx="285">
                  <c:v>-22.88</c:v>
                </c:pt>
                <c:pt idx="286">
                  <c:v>-17.14</c:v>
                </c:pt>
                <c:pt idx="287">
                  <c:v>-30.36</c:v>
                </c:pt>
                <c:pt idx="288">
                  <c:v>-39.86</c:v>
                </c:pt>
                <c:pt idx="289">
                  <c:v>45.82</c:v>
                </c:pt>
                <c:pt idx="290">
                  <c:v>45.81</c:v>
                </c:pt>
                <c:pt idx="291">
                  <c:v>-16.62</c:v>
                </c:pt>
                <c:pt idx="292">
                  <c:v>-17.899999999999999</c:v>
                </c:pt>
                <c:pt idx="293">
                  <c:v>56.96</c:v>
                </c:pt>
                <c:pt idx="294">
                  <c:v>-22.67</c:v>
                </c:pt>
                <c:pt idx="295">
                  <c:v>-24.3</c:v>
                </c:pt>
                <c:pt idx="296">
                  <c:v>56.88</c:v>
                </c:pt>
                <c:pt idx="297">
                  <c:v>-53.66</c:v>
                </c:pt>
                <c:pt idx="298">
                  <c:v>32.130000000000003</c:v>
                </c:pt>
                <c:pt idx="299">
                  <c:v>54.76</c:v>
                </c:pt>
                <c:pt idx="300">
                  <c:v>-53.25</c:v>
                </c:pt>
                <c:pt idx="301">
                  <c:v>32.119999999999997</c:v>
                </c:pt>
                <c:pt idx="302">
                  <c:v>-22.07</c:v>
                </c:pt>
                <c:pt idx="303">
                  <c:v>-23.66</c:v>
                </c:pt>
                <c:pt idx="304">
                  <c:v>-37.36</c:v>
                </c:pt>
                <c:pt idx="305">
                  <c:v>-19.600000000000001</c:v>
                </c:pt>
                <c:pt idx="306">
                  <c:v>-34.32</c:v>
                </c:pt>
                <c:pt idx="307">
                  <c:v>-43.36</c:v>
                </c:pt>
                <c:pt idx="308">
                  <c:v>62.97</c:v>
                </c:pt>
                <c:pt idx="309">
                  <c:v>-36.700000000000003</c:v>
                </c:pt>
                <c:pt idx="310">
                  <c:v>-19.29</c:v>
                </c:pt>
                <c:pt idx="311">
                  <c:v>-43.6</c:v>
                </c:pt>
                <c:pt idx="312">
                  <c:v>63.08</c:v>
                </c:pt>
                <c:pt idx="313">
                  <c:v>-18.2</c:v>
                </c:pt>
                <c:pt idx="314">
                  <c:v>-22.27</c:v>
                </c:pt>
                <c:pt idx="315">
                  <c:v>-35</c:v>
                </c:pt>
                <c:pt idx="316">
                  <c:v>-19.57</c:v>
                </c:pt>
                <c:pt idx="317">
                  <c:v>-13.06</c:v>
                </c:pt>
                <c:pt idx="318">
                  <c:v>-18.71</c:v>
                </c:pt>
                <c:pt idx="319">
                  <c:v>-21.76</c:v>
                </c:pt>
                <c:pt idx="320">
                  <c:v>-19.079999999999998</c:v>
                </c:pt>
                <c:pt idx="321">
                  <c:v>-42.36</c:v>
                </c:pt>
                <c:pt idx="322">
                  <c:v>-41.92</c:v>
                </c:pt>
                <c:pt idx="323">
                  <c:v>-20.43</c:v>
                </c:pt>
                <c:pt idx="324">
                  <c:v>-20.73</c:v>
                </c:pt>
                <c:pt idx="325">
                  <c:v>-18.62</c:v>
                </c:pt>
                <c:pt idx="326">
                  <c:v>-52.21</c:v>
                </c:pt>
                <c:pt idx="327">
                  <c:v>-37.35</c:v>
                </c:pt>
                <c:pt idx="328">
                  <c:v>62.59</c:v>
                </c:pt>
                <c:pt idx="329">
                  <c:v>-51.85</c:v>
                </c:pt>
                <c:pt idx="330">
                  <c:v>19.04</c:v>
                </c:pt>
                <c:pt idx="331">
                  <c:v>-28.1</c:v>
                </c:pt>
                <c:pt idx="332">
                  <c:v>62.49</c:v>
                </c:pt>
                <c:pt idx="333">
                  <c:v>-37.81</c:v>
                </c:pt>
                <c:pt idx="334">
                  <c:v>-25.55</c:v>
                </c:pt>
                <c:pt idx="335">
                  <c:v>-19.87</c:v>
                </c:pt>
                <c:pt idx="336">
                  <c:v>-21.32</c:v>
                </c:pt>
                <c:pt idx="337">
                  <c:v>19.04</c:v>
                </c:pt>
                <c:pt idx="338">
                  <c:v>-25.19</c:v>
                </c:pt>
                <c:pt idx="339">
                  <c:v>-18.02</c:v>
                </c:pt>
                <c:pt idx="340">
                  <c:v>-41.93</c:v>
                </c:pt>
                <c:pt idx="341">
                  <c:v>-42.24</c:v>
                </c:pt>
                <c:pt idx="342">
                  <c:v>54.74</c:v>
                </c:pt>
                <c:pt idx="343">
                  <c:v>59.8</c:v>
                </c:pt>
                <c:pt idx="344">
                  <c:v>44.15</c:v>
                </c:pt>
                <c:pt idx="345">
                  <c:v>-14.67</c:v>
                </c:pt>
                <c:pt idx="346">
                  <c:v>-57.96</c:v>
                </c:pt>
                <c:pt idx="347">
                  <c:v>30.76</c:v>
                </c:pt>
                <c:pt idx="348">
                  <c:v>-14.99</c:v>
                </c:pt>
                <c:pt idx="349">
                  <c:v>-58.25</c:v>
                </c:pt>
                <c:pt idx="350">
                  <c:v>-19.989999999999998</c:v>
                </c:pt>
                <c:pt idx="351">
                  <c:v>-21.49</c:v>
                </c:pt>
                <c:pt idx="352">
                  <c:v>-50.9</c:v>
                </c:pt>
                <c:pt idx="353">
                  <c:v>-50.58</c:v>
                </c:pt>
                <c:pt idx="354">
                  <c:v>-19.670000000000002</c:v>
                </c:pt>
                <c:pt idx="355">
                  <c:v>-34.85</c:v>
                </c:pt>
                <c:pt idx="356">
                  <c:v>-21.79</c:v>
                </c:pt>
                <c:pt idx="357">
                  <c:v>-28.92</c:v>
                </c:pt>
                <c:pt idx="358">
                  <c:v>-28.73</c:v>
                </c:pt>
                <c:pt idx="359">
                  <c:v>-34.369999999999997</c:v>
                </c:pt>
                <c:pt idx="360">
                  <c:v>-31.94</c:v>
                </c:pt>
                <c:pt idx="361">
                  <c:v>-16.63</c:v>
                </c:pt>
                <c:pt idx="362">
                  <c:v>-40.44</c:v>
                </c:pt>
                <c:pt idx="363">
                  <c:v>-40.03</c:v>
                </c:pt>
                <c:pt idx="364">
                  <c:v>-40.630000000000003</c:v>
                </c:pt>
                <c:pt idx="365">
                  <c:v>-40.9</c:v>
                </c:pt>
                <c:pt idx="366">
                  <c:v>-32.549999999999997</c:v>
                </c:pt>
                <c:pt idx="367">
                  <c:v>-19.68</c:v>
                </c:pt>
                <c:pt idx="368">
                  <c:v>-35.49</c:v>
                </c:pt>
                <c:pt idx="369">
                  <c:v>59.77</c:v>
                </c:pt>
                <c:pt idx="370">
                  <c:v>-19.39</c:v>
                </c:pt>
                <c:pt idx="371">
                  <c:v>-35.9</c:v>
                </c:pt>
                <c:pt idx="372">
                  <c:v>-57.04</c:v>
                </c:pt>
                <c:pt idx="373">
                  <c:v>-57.41</c:v>
                </c:pt>
                <c:pt idx="374">
                  <c:v>-15.39</c:v>
                </c:pt>
                <c:pt idx="375">
                  <c:v>-53.02</c:v>
                </c:pt>
                <c:pt idx="376">
                  <c:v>-22.97</c:v>
                </c:pt>
                <c:pt idx="377">
                  <c:v>-52.87</c:v>
                </c:pt>
                <c:pt idx="378">
                  <c:v>-15.67</c:v>
                </c:pt>
                <c:pt idx="379">
                  <c:v>-23.11</c:v>
                </c:pt>
                <c:pt idx="380">
                  <c:v>-49.75</c:v>
                </c:pt>
                <c:pt idx="381">
                  <c:v>-16.440000000000001</c:v>
                </c:pt>
                <c:pt idx="382">
                  <c:v>-16.14</c:v>
                </c:pt>
                <c:pt idx="383">
                  <c:v>17.73</c:v>
                </c:pt>
                <c:pt idx="384">
                  <c:v>-19.34</c:v>
                </c:pt>
                <c:pt idx="385">
                  <c:v>-56.26</c:v>
                </c:pt>
                <c:pt idx="386">
                  <c:v>-56.62</c:v>
                </c:pt>
                <c:pt idx="387">
                  <c:v>-19.059999999999999</c:v>
                </c:pt>
                <c:pt idx="388">
                  <c:v>-39.43</c:v>
                </c:pt>
                <c:pt idx="389">
                  <c:v>-39.72</c:v>
                </c:pt>
                <c:pt idx="390">
                  <c:v>-12.34</c:v>
                </c:pt>
                <c:pt idx="391">
                  <c:v>-15.25</c:v>
                </c:pt>
                <c:pt idx="392">
                  <c:v>-16.760000000000002</c:v>
                </c:pt>
                <c:pt idx="393">
                  <c:v>-38.64</c:v>
                </c:pt>
                <c:pt idx="394">
                  <c:v>-52.15</c:v>
                </c:pt>
                <c:pt idx="395">
                  <c:v>-51.95</c:v>
                </c:pt>
                <c:pt idx="396">
                  <c:v>-16.43</c:v>
                </c:pt>
                <c:pt idx="397">
                  <c:v>-14.9</c:v>
                </c:pt>
                <c:pt idx="398">
                  <c:v>-56.45</c:v>
                </c:pt>
                <c:pt idx="399">
                  <c:v>-32.51</c:v>
                </c:pt>
                <c:pt idx="400">
                  <c:v>-17</c:v>
                </c:pt>
                <c:pt idx="401">
                  <c:v>-55.63</c:v>
                </c:pt>
                <c:pt idx="402">
                  <c:v>-55.91</c:v>
                </c:pt>
                <c:pt idx="403">
                  <c:v>-33.76</c:v>
                </c:pt>
                <c:pt idx="404">
                  <c:v>-34.14</c:v>
                </c:pt>
                <c:pt idx="405">
                  <c:v>-51.38</c:v>
                </c:pt>
                <c:pt idx="406">
                  <c:v>-29.82</c:v>
                </c:pt>
                <c:pt idx="407">
                  <c:v>-51.13</c:v>
                </c:pt>
                <c:pt idx="408">
                  <c:v>-29.36</c:v>
                </c:pt>
                <c:pt idx="409">
                  <c:v>-30.17</c:v>
                </c:pt>
                <c:pt idx="410">
                  <c:v>-29.5</c:v>
                </c:pt>
                <c:pt idx="411">
                  <c:v>-38.659999999999997</c:v>
                </c:pt>
                <c:pt idx="412">
                  <c:v>-55.56</c:v>
                </c:pt>
                <c:pt idx="413">
                  <c:v>-55.32</c:v>
                </c:pt>
                <c:pt idx="414">
                  <c:v>-55.24</c:v>
                </c:pt>
                <c:pt idx="415">
                  <c:v>-26.89</c:v>
                </c:pt>
                <c:pt idx="416">
                  <c:v>-26.81</c:v>
                </c:pt>
                <c:pt idx="417">
                  <c:v>-13.07</c:v>
                </c:pt>
                <c:pt idx="418">
                  <c:v>-16.96</c:v>
                </c:pt>
                <c:pt idx="419">
                  <c:v>-50.72</c:v>
                </c:pt>
                <c:pt idx="420">
                  <c:v>-50.45</c:v>
                </c:pt>
                <c:pt idx="421">
                  <c:v>-13.71</c:v>
                </c:pt>
                <c:pt idx="422">
                  <c:v>-54.73</c:v>
                </c:pt>
                <c:pt idx="423">
                  <c:v>-28.6</c:v>
                </c:pt>
                <c:pt idx="424">
                  <c:v>-55.02</c:v>
                </c:pt>
                <c:pt idx="425">
                  <c:v>-32.54</c:v>
                </c:pt>
                <c:pt idx="426">
                  <c:v>-13.75</c:v>
                </c:pt>
                <c:pt idx="427">
                  <c:v>-16.66</c:v>
                </c:pt>
                <c:pt idx="428">
                  <c:v>-12.33</c:v>
                </c:pt>
                <c:pt idx="429">
                  <c:v>-49.95</c:v>
                </c:pt>
                <c:pt idx="430">
                  <c:v>-50.16</c:v>
                </c:pt>
                <c:pt idx="431">
                  <c:v>-54.08</c:v>
                </c:pt>
                <c:pt idx="432">
                  <c:v>-28.12</c:v>
                </c:pt>
                <c:pt idx="433">
                  <c:v>-49.77</c:v>
                </c:pt>
                <c:pt idx="434">
                  <c:v>-53.46</c:v>
                </c:pt>
                <c:pt idx="435">
                  <c:v>-53.83</c:v>
                </c:pt>
                <c:pt idx="436">
                  <c:v>-53.62</c:v>
                </c:pt>
                <c:pt idx="437">
                  <c:v>-55.86</c:v>
                </c:pt>
                <c:pt idx="438">
                  <c:v>-54.37</c:v>
                </c:pt>
                <c:pt idx="439">
                  <c:v>-27.56</c:v>
                </c:pt>
                <c:pt idx="440">
                  <c:v>-56.06</c:v>
                </c:pt>
                <c:pt idx="441">
                  <c:v>-12</c:v>
                </c:pt>
                <c:pt idx="442">
                  <c:v>-56.09</c:v>
                </c:pt>
                <c:pt idx="443">
                  <c:v>-16.64</c:v>
                </c:pt>
                <c:pt idx="444">
                  <c:v>-13.69</c:v>
                </c:pt>
                <c:pt idx="445">
                  <c:v>-28.69</c:v>
                </c:pt>
                <c:pt idx="446">
                  <c:v>-55.03</c:v>
                </c:pt>
                <c:pt idx="447">
                  <c:v>-32.26</c:v>
                </c:pt>
                <c:pt idx="448">
                  <c:v>-13.76</c:v>
                </c:pt>
                <c:pt idx="449">
                  <c:v>-56.62</c:v>
                </c:pt>
                <c:pt idx="450">
                  <c:v>-56.38</c:v>
                </c:pt>
                <c:pt idx="451">
                  <c:v>-17</c:v>
                </c:pt>
                <c:pt idx="452">
                  <c:v>-13.1</c:v>
                </c:pt>
                <c:pt idx="453">
                  <c:v>-29.81</c:v>
                </c:pt>
                <c:pt idx="454">
                  <c:v>-29.66</c:v>
                </c:pt>
                <c:pt idx="455">
                  <c:v>-55.78</c:v>
                </c:pt>
                <c:pt idx="456">
                  <c:v>-29.62</c:v>
                </c:pt>
                <c:pt idx="457">
                  <c:v>-57.29</c:v>
                </c:pt>
                <c:pt idx="458">
                  <c:v>-56.94</c:v>
                </c:pt>
                <c:pt idx="459">
                  <c:v>-29.28</c:v>
                </c:pt>
                <c:pt idx="460">
                  <c:v>-16.95</c:v>
                </c:pt>
                <c:pt idx="461">
                  <c:v>-33.86</c:v>
                </c:pt>
                <c:pt idx="462">
                  <c:v>-33.479999999999997</c:v>
                </c:pt>
                <c:pt idx="463">
                  <c:v>-56.65</c:v>
                </c:pt>
                <c:pt idx="464">
                  <c:v>-32.229999999999997</c:v>
                </c:pt>
                <c:pt idx="465">
                  <c:v>-14.59</c:v>
                </c:pt>
                <c:pt idx="466">
                  <c:v>-16.37</c:v>
                </c:pt>
                <c:pt idx="467">
                  <c:v>-58.06</c:v>
                </c:pt>
                <c:pt idx="468">
                  <c:v>-14.94</c:v>
                </c:pt>
                <c:pt idx="469">
                  <c:v>-57.71</c:v>
                </c:pt>
                <c:pt idx="470">
                  <c:v>-39.369999999999997</c:v>
                </c:pt>
                <c:pt idx="471">
                  <c:v>-12.02</c:v>
                </c:pt>
                <c:pt idx="472">
                  <c:v>-16.690000000000001</c:v>
                </c:pt>
                <c:pt idx="473">
                  <c:v>-19.05</c:v>
                </c:pt>
                <c:pt idx="474">
                  <c:v>-19.329999999999998</c:v>
                </c:pt>
                <c:pt idx="475">
                  <c:v>-39.35</c:v>
                </c:pt>
                <c:pt idx="476">
                  <c:v>17.71</c:v>
                </c:pt>
                <c:pt idx="477">
                  <c:v>-16.21</c:v>
                </c:pt>
                <c:pt idx="478">
                  <c:v>-16.510000000000002</c:v>
                </c:pt>
                <c:pt idx="479">
                  <c:v>-15.73</c:v>
                </c:pt>
                <c:pt idx="480">
                  <c:v>-58.89</c:v>
                </c:pt>
                <c:pt idx="481">
                  <c:v>-58.59</c:v>
                </c:pt>
                <c:pt idx="482">
                  <c:v>-15.44</c:v>
                </c:pt>
                <c:pt idx="483">
                  <c:v>59.52</c:v>
                </c:pt>
                <c:pt idx="484">
                  <c:v>-19.43</c:v>
                </c:pt>
                <c:pt idx="485">
                  <c:v>-40.42</c:v>
                </c:pt>
                <c:pt idx="486">
                  <c:v>-40.15</c:v>
                </c:pt>
                <c:pt idx="487">
                  <c:v>-19.71</c:v>
                </c:pt>
                <c:pt idx="488">
                  <c:v>-23.46</c:v>
                </c:pt>
                <c:pt idx="489">
                  <c:v>-23.32</c:v>
                </c:pt>
                <c:pt idx="490">
                  <c:v>-32</c:v>
                </c:pt>
                <c:pt idx="491">
                  <c:v>-16.649999999999999</c:v>
                </c:pt>
                <c:pt idx="492">
                  <c:v>-35.619999999999997</c:v>
                </c:pt>
                <c:pt idx="493">
                  <c:v>-35.21</c:v>
                </c:pt>
                <c:pt idx="494">
                  <c:v>-31.4</c:v>
                </c:pt>
                <c:pt idx="495">
                  <c:v>-34.090000000000003</c:v>
                </c:pt>
                <c:pt idx="496">
                  <c:v>-53.44</c:v>
                </c:pt>
                <c:pt idx="497">
                  <c:v>-19.64</c:v>
                </c:pt>
                <c:pt idx="498">
                  <c:v>-34.57</c:v>
                </c:pt>
                <c:pt idx="499">
                  <c:v>-14.68</c:v>
                </c:pt>
                <c:pt idx="500">
                  <c:v>-19.95</c:v>
                </c:pt>
                <c:pt idx="501">
                  <c:v>-40.75</c:v>
                </c:pt>
                <c:pt idx="502">
                  <c:v>-41.15</c:v>
                </c:pt>
                <c:pt idx="503">
                  <c:v>-21.65</c:v>
                </c:pt>
                <c:pt idx="504">
                  <c:v>30.62</c:v>
                </c:pt>
                <c:pt idx="505">
                  <c:v>-21.35</c:v>
                </c:pt>
                <c:pt idx="506">
                  <c:v>-14.36</c:v>
                </c:pt>
                <c:pt idx="507">
                  <c:v>-30.56</c:v>
                </c:pt>
                <c:pt idx="508">
                  <c:v>43.95</c:v>
                </c:pt>
                <c:pt idx="509">
                  <c:v>-30.76</c:v>
                </c:pt>
                <c:pt idx="510">
                  <c:v>-41.61</c:v>
                </c:pt>
                <c:pt idx="511">
                  <c:v>54.96</c:v>
                </c:pt>
                <c:pt idx="512">
                  <c:v>59.54</c:v>
                </c:pt>
                <c:pt idx="513">
                  <c:v>-41.34</c:v>
                </c:pt>
                <c:pt idx="514">
                  <c:v>-17.75</c:v>
                </c:pt>
                <c:pt idx="515">
                  <c:v>62.2</c:v>
                </c:pt>
                <c:pt idx="516">
                  <c:v>-54.27</c:v>
                </c:pt>
                <c:pt idx="517">
                  <c:v>19.02</c:v>
                </c:pt>
                <c:pt idx="518">
                  <c:v>-54.58</c:v>
                </c:pt>
                <c:pt idx="519">
                  <c:v>62.33</c:v>
                </c:pt>
                <c:pt idx="520">
                  <c:v>-27.55</c:v>
                </c:pt>
                <c:pt idx="521">
                  <c:v>-21.06</c:v>
                </c:pt>
                <c:pt idx="522">
                  <c:v>-19.809999999999999</c:v>
                </c:pt>
                <c:pt idx="523">
                  <c:v>-25.56</c:v>
                </c:pt>
                <c:pt idx="524">
                  <c:v>19.02</c:v>
                </c:pt>
                <c:pt idx="525">
                  <c:v>-18.350000000000001</c:v>
                </c:pt>
                <c:pt idx="526">
                  <c:v>-25.93</c:v>
                </c:pt>
                <c:pt idx="527">
                  <c:v>-20.48</c:v>
                </c:pt>
                <c:pt idx="528">
                  <c:v>-20.38</c:v>
                </c:pt>
                <c:pt idx="529">
                  <c:v>-37.520000000000003</c:v>
                </c:pt>
                <c:pt idx="530">
                  <c:v>-19.13</c:v>
                </c:pt>
                <c:pt idx="531">
                  <c:v>-18.739999999999998</c:v>
                </c:pt>
                <c:pt idx="532">
                  <c:v>-21.74</c:v>
                </c:pt>
                <c:pt idx="533">
                  <c:v>-37.07</c:v>
                </c:pt>
                <c:pt idx="534">
                  <c:v>-13.09</c:v>
                </c:pt>
                <c:pt idx="535">
                  <c:v>-19.63</c:v>
                </c:pt>
                <c:pt idx="536">
                  <c:v>-42.95</c:v>
                </c:pt>
                <c:pt idx="537">
                  <c:v>-42.63</c:v>
                </c:pt>
                <c:pt idx="538">
                  <c:v>-42.64</c:v>
                </c:pt>
                <c:pt idx="539">
                  <c:v>-22.25</c:v>
                </c:pt>
                <c:pt idx="540">
                  <c:v>-18.25</c:v>
                </c:pt>
                <c:pt idx="541">
                  <c:v>-43.07</c:v>
                </c:pt>
                <c:pt idx="542">
                  <c:v>-34.47</c:v>
                </c:pt>
                <c:pt idx="543">
                  <c:v>-19.3</c:v>
                </c:pt>
                <c:pt idx="544">
                  <c:v>-36.42</c:v>
                </c:pt>
                <c:pt idx="545">
                  <c:v>-19.61</c:v>
                </c:pt>
                <c:pt idx="546">
                  <c:v>-33.78</c:v>
                </c:pt>
                <c:pt idx="547">
                  <c:v>62.79</c:v>
                </c:pt>
                <c:pt idx="548">
                  <c:v>-55.51</c:v>
                </c:pt>
                <c:pt idx="549">
                  <c:v>-55.89</c:v>
                </c:pt>
                <c:pt idx="550">
                  <c:v>54.97</c:v>
                </c:pt>
                <c:pt idx="551">
                  <c:v>31.99</c:v>
                </c:pt>
                <c:pt idx="552">
                  <c:v>62.68</c:v>
                </c:pt>
                <c:pt idx="553">
                  <c:v>-22.12</c:v>
                </c:pt>
                <c:pt idx="554">
                  <c:v>-37.08</c:v>
                </c:pt>
                <c:pt idx="555">
                  <c:v>-23.52</c:v>
                </c:pt>
                <c:pt idx="556">
                  <c:v>31.99</c:v>
                </c:pt>
                <c:pt idx="557">
                  <c:v>57.07</c:v>
                </c:pt>
                <c:pt idx="558">
                  <c:v>-24.15</c:v>
                </c:pt>
                <c:pt idx="559">
                  <c:v>-22.72</c:v>
                </c:pt>
                <c:pt idx="560">
                  <c:v>-17.59</c:v>
                </c:pt>
                <c:pt idx="561">
                  <c:v>-16.489999999999998</c:v>
                </c:pt>
                <c:pt idx="562">
                  <c:v>57.15</c:v>
                </c:pt>
                <c:pt idx="563">
                  <c:v>45.62</c:v>
                </c:pt>
                <c:pt idx="564">
                  <c:v>-29.82</c:v>
                </c:pt>
                <c:pt idx="565">
                  <c:v>45.63</c:v>
                </c:pt>
                <c:pt idx="566">
                  <c:v>-17.16</c:v>
                </c:pt>
                <c:pt idx="567">
                  <c:v>-44.31</c:v>
                </c:pt>
                <c:pt idx="568">
                  <c:v>-22.85</c:v>
                </c:pt>
                <c:pt idx="569">
                  <c:v>-17.05</c:v>
                </c:pt>
                <c:pt idx="570">
                  <c:v>-30.24</c:v>
                </c:pt>
                <c:pt idx="571">
                  <c:v>-44.07</c:v>
                </c:pt>
                <c:pt idx="572">
                  <c:v>-17.25</c:v>
                </c:pt>
                <c:pt idx="573">
                  <c:v>17.7</c:v>
                </c:pt>
                <c:pt idx="574">
                  <c:v>-39.58</c:v>
                </c:pt>
                <c:pt idx="575">
                  <c:v>-18.11</c:v>
                </c:pt>
                <c:pt idx="576">
                  <c:v>-23.43</c:v>
                </c:pt>
                <c:pt idx="577">
                  <c:v>-16.440000000000001</c:v>
                </c:pt>
                <c:pt idx="578">
                  <c:v>-17.86</c:v>
                </c:pt>
                <c:pt idx="579">
                  <c:v>-56.92</c:v>
                </c:pt>
                <c:pt idx="580">
                  <c:v>-39.01</c:v>
                </c:pt>
                <c:pt idx="581">
                  <c:v>30.63</c:v>
                </c:pt>
                <c:pt idx="582">
                  <c:v>-57.34</c:v>
                </c:pt>
                <c:pt idx="583">
                  <c:v>22.69</c:v>
                </c:pt>
                <c:pt idx="584">
                  <c:v>-44.63</c:v>
                </c:pt>
                <c:pt idx="585">
                  <c:v>43.96</c:v>
                </c:pt>
                <c:pt idx="586">
                  <c:v>-21.8</c:v>
                </c:pt>
                <c:pt idx="587">
                  <c:v>-19.309999999999999</c:v>
                </c:pt>
                <c:pt idx="588">
                  <c:v>-18.88</c:v>
                </c:pt>
                <c:pt idx="589">
                  <c:v>-45.13</c:v>
                </c:pt>
                <c:pt idx="590">
                  <c:v>-15.77</c:v>
                </c:pt>
                <c:pt idx="591">
                  <c:v>-19.57</c:v>
                </c:pt>
                <c:pt idx="592">
                  <c:v>22.86</c:v>
                </c:pt>
                <c:pt idx="593">
                  <c:v>57.33</c:v>
                </c:pt>
                <c:pt idx="594">
                  <c:v>-15.69</c:v>
                </c:pt>
                <c:pt idx="595">
                  <c:v>57.27</c:v>
                </c:pt>
                <c:pt idx="596">
                  <c:v>-22.59</c:v>
                </c:pt>
                <c:pt idx="597">
                  <c:v>-20.010000000000002</c:v>
                </c:pt>
                <c:pt idx="598">
                  <c:v>-24.1</c:v>
                </c:pt>
                <c:pt idx="599">
                  <c:v>-45.76</c:v>
                </c:pt>
                <c:pt idx="600">
                  <c:v>66.569999999999993</c:v>
                </c:pt>
                <c:pt idx="601">
                  <c:v>-15.99</c:v>
                </c:pt>
                <c:pt idx="602">
                  <c:v>-37.19</c:v>
                </c:pt>
                <c:pt idx="603">
                  <c:v>-23.07</c:v>
                </c:pt>
                <c:pt idx="604">
                  <c:v>-18.98</c:v>
                </c:pt>
                <c:pt idx="605">
                  <c:v>-20.27</c:v>
                </c:pt>
                <c:pt idx="606">
                  <c:v>-45.52</c:v>
                </c:pt>
                <c:pt idx="607">
                  <c:v>66.89</c:v>
                </c:pt>
                <c:pt idx="608">
                  <c:v>-38.9</c:v>
                </c:pt>
                <c:pt idx="609">
                  <c:v>-22.51</c:v>
                </c:pt>
                <c:pt idx="610">
                  <c:v>-36.24</c:v>
                </c:pt>
                <c:pt idx="611">
                  <c:v>-58.37</c:v>
                </c:pt>
                <c:pt idx="612">
                  <c:v>-24.87</c:v>
                </c:pt>
                <c:pt idx="613">
                  <c:v>-20.45</c:v>
                </c:pt>
                <c:pt idx="614">
                  <c:v>-23.85</c:v>
                </c:pt>
                <c:pt idx="615">
                  <c:v>-39.71</c:v>
                </c:pt>
                <c:pt idx="616">
                  <c:v>-4.08</c:v>
                </c:pt>
                <c:pt idx="617">
                  <c:v>-58.83</c:v>
                </c:pt>
                <c:pt idx="618">
                  <c:v>-4.3</c:v>
                </c:pt>
                <c:pt idx="619">
                  <c:v>-22.47</c:v>
                </c:pt>
                <c:pt idx="620">
                  <c:v>-18.28</c:v>
                </c:pt>
                <c:pt idx="621">
                  <c:v>-26.24</c:v>
                </c:pt>
                <c:pt idx="622">
                  <c:v>-23.1</c:v>
                </c:pt>
                <c:pt idx="623">
                  <c:v>35.51</c:v>
                </c:pt>
                <c:pt idx="624">
                  <c:v>-29.06</c:v>
                </c:pt>
                <c:pt idx="625">
                  <c:v>-29.08</c:v>
                </c:pt>
                <c:pt idx="626">
                  <c:v>-23.55</c:v>
                </c:pt>
                <c:pt idx="627">
                  <c:v>-41.69</c:v>
                </c:pt>
                <c:pt idx="628">
                  <c:v>-21.23</c:v>
                </c:pt>
                <c:pt idx="629">
                  <c:v>35.700000000000003</c:v>
                </c:pt>
                <c:pt idx="630">
                  <c:v>-23.28</c:v>
                </c:pt>
                <c:pt idx="631">
                  <c:v>-27.09</c:v>
                </c:pt>
                <c:pt idx="632">
                  <c:v>-41.09</c:v>
                </c:pt>
                <c:pt idx="633">
                  <c:v>-26.45</c:v>
                </c:pt>
                <c:pt idx="634">
                  <c:v>-21.57</c:v>
                </c:pt>
                <c:pt idx="635">
                  <c:v>18.559999999999999</c:v>
                </c:pt>
                <c:pt idx="636">
                  <c:v>-46.69</c:v>
                </c:pt>
                <c:pt idx="637">
                  <c:v>-32.53</c:v>
                </c:pt>
                <c:pt idx="638">
                  <c:v>-22.74</c:v>
                </c:pt>
                <c:pt idx="639">
                  <c:v>67.69</c:v>
                </c:pt>
                <c:pt idx="640">
                  <c:v>18.54</c:v>
                </c:pt>
                <c:pt idx="641">
                  <c:v>19.989999999999998</c:v>
                </c:pt>
                <c:pt idx="642">
                  <c:v>-47.32</c:v>
                </c:pt>
                <c:pt idx="643">
                  <c:v>67.37</c:v>
                </c:pt>
                <c:pt idx="644">
                  <c:v>45.56</c:v>
                </c:pt>
                <c:pt idx="645">
                  <c:v>-27.29</c:v>
                </c:pt>
                <c:pt idx="646">
                  <c:v>45.51</c:v>
                </c:pt>
                <c:pt idx="647">
                  <c:v>-20.57</c:v>
                </c:pt>
                <c:pt idx="648">
                  <c:v>31.86</c:v>
                </c:pt>
                <c:pt idx="649">
                  <c:v>-33.29</c:v>
                </c:pt>
                <c:pt idx="650">
                  <c:v>-59.92</c:v>
                </c:pt>
                <c:pt idx="651">
                  <c:v>60.04</c:v>
                </c:pt>
                <c:pt idx="652">
                  <c:v>48.91</c:v>
                </c:pt>
                <c:pt idx="653">
                  <c:v>-20.73</c:v>
                </c:pt>
                <c:pt idx="654">
                  <c:v>31.83</c:v>
                </c:pt>
                <c:pt idx="655">
                  <c:v>-60.35</c:v>
                </c:pt>
                <c:pt idx="656">
                  <c:v>20.56</c:v>
                </c:pt>
                <c:pt idx="657">
                  <c:v>60.37</c:v>
                </c:pt>
                <c:pt idx="658">
                  <c:v>49.13</c:v>
                </c:pt>
                <c:pt idx="659">
                  <c:v>-21.35</c:v>
                </c:pt>
                <c:pt idx="660">
                  <c:v>-27.48</c:v>
                </c:pt>
                <c:pt idx="661">
                  <c:v>-25.86</c:v>
                </c:pt>
                <c:pt idx="662">
                  <c:v>-39.979999999999997</c:v>
                </c:pt>
                <c:pt idx="663">
                  <c:v>-18.88</c:v>
                </c:pt>
                <c:pt idx="664">
                  <c:v>26.37</c:v>
                </c:pt>
                <c:pt idx="665">
                  <c:v>-28.4</c:v>
                </c:pt>
                <c:pt idx="666">
                  <c:v>-41.5</c:v>
                </c:pt>
                <c:pt idx="667">
                  <c:v>43.92</c:v>
                </c:pt>
                <c:pt idx="668">
                  <c:v>-19.48</c:v>
                </c:pt>
                <c:pt idx="669">
                  <c:v>-38.880000000000003</c:v>
                </c:pt>
                <c:pt idx="670">
                  <c:v>-19.170000000000002</c:v>
                </c:pt>
                <c:pt idx="671">
                  <c:v>-27.12</c:v>
                </c:pt>
                <c:pt idx="672">
                  <c:v>26.95</c:v>
                </c:pt>
                <c:pt idx="673">
                  <c:v>26.35</c:v>
                </c:pt>
                <c:pt idx="674">
                  <c:v>-42.44</c:v>
                </c:pt>
                <c:pt idx="675">
                  <c:v>-49.14</c:v>
                </c:pt>
                <c:pt idx="676">
                  <c:v>-26.84</c:v>
                </c:pt>
                <c:pt idx="677">
                  <c:v>44.42</c:v>
                </c:pt>
                <c:pt idx="678">
                  <c:v>-28.41</c:v>
                </c:pt>
                <c:pt idx="679">
                  <c:v>61.58</c:v>
                </c:pt>
                <c:pt idx="680">
                  <c:v>44.73</c:v>
                </c:pt>
                <c:pt idx="681">
                  <c:v>-49.82</c:v>
                </c:pt>
                <c:pt idx="682">
                  <c:v>-19.940000000000001</c:v>
                </c:pt>
                <c:pt idx="683">
                  <c:v>33.159999999999997</c:v>
                </c:pt>
                <c:pt idx="684">
                  <c:v>61.29</c:v>
                </c:pt>
                <c:pt idx="685">
                  <c:v>40.14</c:v>
                </c:pt>
                <c:pt idx="686">
                  <c:v>26.78</c:v>
                </c:pt>
                <c:pt idx="687">
                  <c:v>-28.15</c:v>
                </c:pt>
                <c:pt idx="688">
                  <c:v>44.24</c:v>
                </c:pt>
                <c:pt idx="689">
                  <c:v>-29.45</c:v>
                </c:pt>
                <c:pt idx="690">
                  <c:v>33.700000000000003</c:v>
                </c:pt>
                <c:pt idx="691">
                  <c:v>21.28</c:v>
                </c:pt>
                <c:pt idx="692">
                  <c:v>40.64</c:v>
                </c:pt>
                <c:pt idx="693">
                  <c:v>-27.29</c:v>
                </c:pt>
                <c:pt idx="694">
                  <c:v>-30.93</c:v>
                </c:pt>
                <c:pt idx="695">
                  <c:v>-25.68</c:v>
                </c:pt>
                <c:pt idx="696">
                  <c:v>-35.409999999999997</c:v>
                </c:pt>
                <c:pt idx="697">
                  <c:v>21.04</c:v>
                </c:pt>
                <c:pt idx="698">
                  <c:v>20.11</c:v>
                </c:pt>
                <c:pt idx="699">
                  <c:v>-30.84</c:v>
                </c:pt>
                <c:pt idx="700">
                  <c:v>70.959999999999994</c:v>
                </c:pt>
                <c:pt idx="701">
                  <c:v>41.39</c:v>
                </c:pt>
                <c:pt idx="702">
                  <c:v>-28.08</c:v>
                </c:pt>
                <c:pt idx="703">
                  <c:v>-28.78</c:v>
                </c:pt>
                <c:pt idx="704">
                  <c:v>-31.98</c:v>
                </c:pt>
                <c:pt idx="705">
                  <c:v>19.510000000000002</c:v>
                </c:pt>
                <c:pt idx="706">
                  <c:v>-36.43</c:v>
                </c:pt>
                <c:pt idx="707">
                  <c:v>71.489999999999995</c:v>
                </c:pt>
                <c:pt idx="708">
                  <c:v>39.04</c:v>
                </c:pt>
                <c:pt idx="709">
                  <c:v>40.9</c:v>
                </c:pt>
                <c:pt idx="710">
                  <c:v>-24.64</c:v>
                </c:pt>
                <c:pt idx="711">
                  <c:v>-31.89</c:v>
                </c:pt>
                <c:pt idx="712">
                  <c:v>34.659999999999997</c:v>
                </c:pt>
                <c:pt idx="713">
                  <c:v>48.92</c:v>
                </c:pt>
                <c:pt idx="714">
                  <c:v>26.97</c:v>
                </c:pt>
                <c:pt idx="715">
                  <c:v>-44.5</c:v>
                </c:pt>
                <c:pt idx="716">
                  <c:v>-27.72</c:v>
                </c:pt>
                <c:pt idx="717">
                  <c:v>34.57</c:v>
                </c:pt>
                <c:pt idx="718">
                  <c:v>39.46</c:v>
                </c:pt>
                <c:pt idx="719">
                  <c:v>48.66</c:v>
                </c:pt>
                <c:pt idx="720">
                  <c:v>34.4</c:v>
                </c:pt>
                <c:pt idx="721">
                  <c:v>-29.92</c:v>
                </c:pt>
                <c:pt idx="722">
                  <c:v>26.47</c:v>
                </c:pt>
                <c:pt idx="723">
                  <c:v>34.1</c:v>
                </c:pt>
                <c:pt idx="724">
                  <c:v>72.59</c:v>
                </c:pt>
                <c:pt idx="725">
                  <c:v>-45.61</c:v>
                </c:pt>
                <c:pt idx="726">
                  <c:v>-32.29</c:v>
                </c:pt>
                <c:pt idx="727">
                  <c:v>52.2</c:v>
                </c:pt>
                <c:pt idx="728">
                  <c:v>-31.22</c:v>
                </c:pt>
                <c:pt idx="729">
                  <c:v>72.06</c:v>
                </c:pt>
                <c:pt idx="730">
                  <c:v>63.41</c:v>
                </c:pt>
                <c:pt idx="731">
                  <c:v>-23.93</c:v>
                </c:pt>
                <c:pt idx="732">
                  <c:v>-31.19</c:v>
                </c:pt>
                <c:pt idx="733">
                  <c:v>-33.44</c:v>
                </c:pt>
                <c:pt idx="734">
                  <c:v>52.65</c:v>
                </c:pt>
                <c:pt idx="735">
                  <c:v>63.86</c:v>
                </c:pt>
                <c:pt idx="736">
                  <c:v>-32.83</c:v>
                </c:pt>
                <c:pt idx="737">
                  <c:v>-24.72</c:v>
                </c:pt>
                <c:pt idx="738">
                  <c:v>-32.46</c:v>
                </c:pt>
                <c:pt idx="739">
                  <c:v>30.77</c:v>
                </c:pt>
                <c:pt idx="740">
                  <c:v>-29.79</c:v>
                </c:pt>
                <c:pt idx="741">
                  <c:v>-38.4</c:v>
                </c:pt>
                <c:pt idx="742">
                  <c:v>-34.200000000000003</c:v>
                </c:pt>
                <c:pt idx="743">
                  <c:v>-35.28</c:v>
                </c:pt>
                <c:pt idx="744">
                  <c:v>-35.619999999999997</c:v>
                </c:pt>
                <c:pt idx="745">
                  <c:v>31.49</c:v>
                </c:pt>
                <c:pt idx="746">
                  <c:v>66.680000000000007</c:v>
                </c:pt>
                <c:pt idx="747">
                  <c:v>-32.21</c:v>
                </c:pt>
                <c:pt idx="748">
                  <c:v>-39.65</c:v>
                </c:pt>
                <c:pt idx="749">
                  <c:v>-28.56</c:v>
                </c:pt>
                <c:pt idx="750">
                  <c:v>-4.4000000000000004</c:v>
                </c:pt>
                <c:pt idx="751">
                  <c:v>66.17</c:v>
                </c:pt>
                <c:pt idx="752">
                  <c:v>25.68</c:v>
                </c:pt>
                <c:pt idx="753">
                  <c:v>-4.63</c:v>
                </c:pt>
                <c:pt idx="754">
                  <c:v>-36.54</c:v>
                </c:pt>
                <c:pt idx="755">
                  <c:v>-4.63</c:v>
                </c:pt>
                <c:pt idx="756">
                  <c:v>-34.01</c:v>
                </c:pt>
                <c:pt idx="757">
                  <c:v>-36.869999999999997</c:v>
                </c:pt>
                <c:pt idx="758">
                  <c:v>-55.03</c:v>
                </c:pt>
                <c:pt idx="759">
                  <c:v>-33.35</c:v>
                </c:pt>
                <c:pt idx="760">
                  <c:v>25.19</c:v>
                </c:pt>
                <c:pt idx="761">
                  <c:v>-55.49</c:v>
                </c:pt>
                <c:pt idx="762">
                  <c:v>76.83</c:v>
                </c:pt>
                <c:pt idx="763">
                  <c:v>-55.47</c:v>
                </c:pt>
                <c:pt idx="764">
                  <c:v>43.92</c:v>
                </c:pt>
                <c:pt idx="765">
                  <c:v>-5.0599999999999996</c:v>
                </c:pt>
                <c:pt idx="766">
                  <c:v>-5.13</c:v>
                </c:pt>
                <c:pt idx="767">
                  <c:v>-32.76</c:v>
                </c:pt>
                <c:pt idx="768">
                  <c:v>39.53</c:v>
                </c:pt>
                <c:pt idx="769">
                  <c:v>-37.200000000000003</c:v>
                </c:pt>
                <c:pt idx="770">
                  <c:v>54.07</c:v>
                </c:pt>
                <c:pt idx="771">
                  <c:v>77.489999999999995</c:v>
                </c:pt>
                <c:pt idx="772">
                  <c:v>44.64</c:v>
                </c:pt>
                <c:pt idx="773">
                  <c:v>-55.99</c:v>
                </c:pt>
                <c:pt idx="774">
                  <c:v>-55.94</c:v>
                </c:pt>
                <c:pt idx="775">
                  <c:v>39.07</c:v>
                </c:pt>
                <c:pt idx="776">
                  <c:v>53.59</c:v>
                </c:pt>
                <c:pt idx="777">
                  <c:v>-5.71</c:v>
                </c:pt>
                <c:pt idx="778">
                  <c:v>-5.88</c:v>
                </c:pt>
                <c:pt idx="779">
                  <c:v>-42</c:v>
                </c:pt>
                <c:pt idx="780">
                  <c:v>78.08</c:v>
                </c:pt>
                <c:pt idx="781">
                  <c:v>-29.03</c:v>
                </c:pt>
                <c:pt idx="782">
                  <c:v>-38.58</c:v>
                </c:pt>
                <c:pt idx="783">
                  <c:v>57.25</c:v>
                </c:pt>
                <c:pt idx="784">
                  <c:v>-56.49</c:v>
                </c:pt>
                <c:pt idx="785">
                  <c:v>-56.45</c:v>
                </c:pt>
                <c:pt idx="786">
                  <c:v>69.53</c:v>
                </c:pt>
                <c:pt idx="787">
                  <c:v>77.430000000000007</c:v>
                </c:pt>
                <c:pt idx="788">
                  <c:v>-6.52</c:v>
                </c:pt>
                <c:pt idx="789">
                  <c:v>-6.8</c:v>
                </c:pt>
                <c:pt idx="790">
                  <c:v>-30.08</c:v>
                </c:pt>
                <c:pt idx="791">
                  <c:v>35.979999999999997</c:v>
                </c:pt>
                <c:pt idx="792">
                  <c:v>-43.46</c:v>
                </c:pt>
                <c:pt idx="793">
                  <c:v>58</c:v>
                </c:pt>
                <c:pt idx="794">
                  <c:v>70.19</c:v>
                </c:pt>
                <c:pt idx="795">
                  <c:v>-57.02</c:v>
                </c:pt>
                <c:pt idx="796">
                  <c:v>-57.01</c:v>
                </c:pt>
                <c:pt idx="797">
                  <c:v>-7.44</c:v>
                </c:pt>
                <c:pt idx="798">
                  <c:v>-7.8</c:v>
                </c:pt>
                <c:pt idx="799">
                  <c:v>-37.299999999999997</c:v>
                </c:pt>
                <c:pt idx="800">
                  <c:v>36.93</c:v>
                </c:pt>
                <c:pt idx="801">
                  <c:v>-57.57</c:v>
                </c:pt>
                <c:pt idx="802">
                  <c:v>-57.62</c:v>
                </c:pt>
                <c:pt idx="803">
                  <c:v>71.77</c:v>
                </c:pt>
                <c:pt idx="804">
                  <c:v>30.96</c:v>
                </c:pt>
                <c:pt idx="805">
                  <c:v>-38.68</c:v>
                </c:pt>
                <c:pt idx="806">
                  <c:v>71.06</c:v>
                </c:pt>
                <c:pt idx="807">
                  <c:v>30.21</c:v>
                </c:pt>
                <c:pt idx="808">
                  <c:v>48.95</c:v>
                </c:pt>
                <c:pt idx="809">
                  <c:v>83.11</c:v>
                </c:pt>
                <c:pt idx="810">
                  <c:v>44.63</c:v>
                </c:pt>
                <c:pt idx="811">
                  <c:v>59.22</c:v>
                </c:pt>
                <c:pt idx="812">
                  <c:v>49.92</c:v>
                </c:pt>
                <c:pt idx="813">
                  <c:v>83.96</c:v>
                </c:pt>
                <c:pt idx="814">
                  <c:v>-34.29</c:v>
                </c:pt>
                <c:pt idx="815">
                  <c:v>43.95</c:v>
                </c:pt>
                <c:pt idx="816">
                  <c:v>58.52</c:v>
                </c:pt>
                <c:pt idx="817">
                  <c:v>84.57</c:v>
                </c:pt>
                <c:pt idx="818">
                  <c:v>62.37</c:v>
                </c:pt>
                <c:pt idx="819">
                  <c:v>-35.65</c:v>
                </c:pt>
                <c:pt idx="820">
                  <c:v>75.66</c:v>
                </c:pt>
                <c:pt idx="821">
                  <c:v>83.73</c:v>
                </c:pt>
                <c:pt idx="822">
                  <c:v>63.36</c:v>
                </c:pt>
                <c:pt idx="823">
                  <c:v>76.510000000000005</c:v>
                </c:pt>
                <c:pt idx="824">
                  <c:v>36.24</c:v>
                </c:pt>
                <c:pt idx="825">
                  <c:v>77.989999999999995</c:v>
                </c:pt>
                <c:pt idx="826">
                  <c:v>35.24</c:v>
                </c:pt>
                <c:pt idx="827">
                  <c:v>77.17</c:v>
                </c:pt>
                <c:pt idx="828">
                  <c:v>49.91</c:v>
                </c:pt>
                <c:pt idx="829">
                  <c:v>64.569999999999993</c:v>
                </c:pt>
                <c:pt idx="830">
                  <c:v>48.93</c:v>
                </c:pt>
                <c:pt idx="831">
                  <c:v>63.76</c:v>
                </c:pt>
                <c:pt idx="832">
                  <c:v>-6.71</c:v>
                </c:pt>
                <c:pt idx="833">
                  <c:v>-6.54</c:v>
                </c:pt>
                <c:pt idx="834">
                  <c:v>118.21</c:v>
                </c:pt>
                <c:pt idx="835">
                  <c:v>118.28</c:v>
                </c:pt>
                <c:pt idx="836">
                  <c:v>-4.41</c:v>
                </c:pt>
                <c:pt idx="837">
                  <c:v>230.52</c:v>
                </c:pt>
                <c:pt idx="838">
                  <c:v>-5.38</c:v>
                </c:pt>
                <c:pt idx="839">
                  <c:v>-5.32</c:v>
                </c:pt>
                <c:pt idx="840">
                  <c:v>231.53</c:v>
                </c:pt>
                <c:pt idx="841">
                  <c:v>231.55</c:v>
                </c:pt>
                <c:pt idx="842">
                  <c:v>-6.5</c:v>
                </c:pt>
                <c:pt idx="843">
                  <c:v>-6.38</c:v>
                </c:pt>
                <c:pt idx="844">
                  <c:v>232.54</c:v>
                </c:pt>
                <c:pt idx="845">
                  <c:v>232.59</c:v>
                </c:pt>
                <c:pt idx="846">
                  <c:v>-7.9</c:v>
                </c:pt>
                <c:pt idx="847">
                  <c:v>-7.73</c:v>
                </c:pt>
                <c:pt idx="848">
                  <c:v>233.56</c:v>
                </c:pt>
                <c:pt idx="849">
                  <c:v>233.63</c:v>
                </c:pt>
                <c:pt idx="850">
                  <c:v>-9.89</c:v>
                </c:pt>
                <c:pt idx="851">
                  <c:v>-9.67</c:v>
                </c:pt>
                <c:pt idx="852">
                  <c:v>234.58</c:v>
                </c:pt>
                <c:pt idx="853">
                  <c:v>234.67</c:v>
                </c:pt>
                <c:pt idx="854">
                  <c:v>-11.9</c:v>
                </c:pt>
                <c:pt idx="855">
                  <c:v>-11.61</c:v>
                </c:pt>
                <c:pt idx="856">
                  <c:v>235.6</c:v>
                </c:pt>
                <c:pt idx="857">
                  <c:v>235.71</c:v>
                </c:pt>
              </c:numCache>
            </c:numRef>
          </c:xVal>
          <c:yVal>
            <c:numRef>
              <c:f>'Hasil P1 Kuat I'!$L$2:$L$859</c:f>
              <c:numCache>
                <c:formatCode>General</c:formatCode>
                <c:ptCount val="858"/>
                <c:pt idx="0">
                  <c:v>543.32000000000005</c:v>
                </c:pt>
                <c:pt idx="1">
                  <c:v>544.41</c:v>
                </c:pt>
                <c:pt idx="2">
                  <c:v>534.12</c:v>
                </c:pt>
                <c:pt idx="3">
                  <c:v>535.20000000000005</c:v>
                </c:pt>
                <c:pt idx="4">
                  <c:v>534.46</c:v>
                </c:pt>
                <c:pt idx="5">
                  <c:v>535.42999999999995</c:v>
                </c:pt>
                <c:pt idx="6">
                  <c:v>525.26</c:v>
                </c:pt>
                <c:pt idx="7">
                  <c:v>526.23</c:v>
                </c:pt>
                <c:pt idx="8">
                  <c:v>525.71</c:v>
                </c:pt>
                <c:pt idx="9">
                  <c:v>526.51</c:v>
                </c:pt>
                <c:pt idx="10">
                  <c:v>516.51</c:v>
                </c:pt>
                <c:pt idx="11">
                  <c:v>517.30999999999995</c:v>
                </c:pt>
                <c:pt idx="12">
                  <c:v>517.17999999999995</c:v>
                </c:pt>
                <c:pt idx="13">
                  <c:v>517.59</c:v>
                </c:pt>
                <c:pt idx="14">
                  <c:v>507.98</c:v>
                </c:pt>
                <c:pt idx="15">
                  <c:v>508.38</c:v>
                </c:pt>
                <c:pt idx="16">
                  <c:v>508.65</c:v>
                </c:pt>
                <c:pt idx="17">
                  <c:v>508.83</c:v>
                </c:pt>
                <c:pt idx="18">
                  <c:v>499.45</c:v>
                </c:pt>
                <c:pt idx="19">
                  <c:v>499.63</c:v>
                </c:pt>
                <c:pt idx="20">
                  <c:v>500.32</c:v>
                </c:pt>
                <c:pt idx="21">
                  <c:v>491.12</c:v>
                </c:pt>
                <c:pt idx="22">
                  <c:v>275.06</c:v>
                </c:pt>
                <c:pt idx="23">
                  <c:v>275.67</c:v>
                </c:pt>
                <c:pt idx="24">
                  <c:v>270.45999999999998</c:v>
                </c:pt>
                <c:pt idx="25">
                  <c:v>271.07</c:v>
                </c:pt>
                <c:pt idx="26">
                  <c:v>-448.02</c:v>
                </c:pt>
                <c:pt idx="27">
                  <c:v>-345.51</c:v>
                </c:pt>
                <c:pt idx="28">
                  <c:v>-448.05</c:v>
                </c:pt>
                <c:pt idx="29">
                  <c:v>-345.56</c:v>
                </c:pt>
                <c:pt idx="30">
                  <c:v>-516.30999999999995</c:v>
                </c:pt>
                <c:pt idx="31">
                  <c:v>-225.8</c:v>
                </c:pt>
                <c:pt idx="32">
                  <c:v>-516.32000000000005</c:v>
                </c:pt>
                <c:pt idx="33">
                  <c:v>-226.44</c:v>
                </c:pt>
                <c:pt idx="34">
                  <c:v>-448.78</c:v>
                </c:pt>
                <c:pt idx="35">
                  <c:v>-346.65</c:v>
                </c:pt>
                <c:pt idx="36">
                  <c:v>-540.23</c:v>
                </c:pt>
                <c:pt idx="37">
                  <c:v>-448.81</c:v>
                </c:pt>
                <c:pt idx="38">
                  <c:v>-109.65</c:v>
                </c:pt>
                <c:pt idx="39">
                  <c:v>-346.69</c:v>
                </c:pt>
                <c:pt idx="40">
                  <c:v>-540.22</c:v>
                </c:pt>
                <c:pt idx="41">
                  <c:v>-446.78</c:v>
                </c:pt>
                <c:pt idx="42">
                  <c:v>-344.53</c:v>
                </c:pt>
                <c:pt idx="43">
                  <c:v>-516.69000000000005</c:v>
                </c:pt>
                <c:pt idx="44">
                  <c:v>-109.63</c:v>
                </c:pt>
                <c:pt idx="45">
                  <c:v>-227.32</c:v>
                </c:pt>
                <c:pt idx="46">
                  <c:v>-446.8</c:v>
                </c:pt>
                <c:pt idx="47">
                  <c:v>-344.56</c:v>
                </c:pt>
                <c:pt idx="48">
                  <c:v>-516.70000000000005</c:v>
                </c:pt>
                <c:pt idx="49">
                  <c:v>-227.95</c:v>
                </c:pt>
                <c:pt idx="50">
                  <c:v>-513.39</c:v>
                </c:pt>
                <c:pt idx="51">
                  <c:v>-225.04</c:v>
                </c:pt>
                <c:pt idx="52">
                  <c:v>724.89</c:v>
                </c:pt>
                <c:pt idx="53">
                  <c:v>725.94</c:v>
                </c:pt>
                <c:pt idx="54">
                  <c:v>237.88</c:v>
                </c:pt>
                <c:pt idx="55">
                  <c:v>-513.39</c:v>
                </c:pt>
                <c:pt idx="56">
                  <c:v>-225.86</c:v>
                </c:pt>
                <c:pt idx="57">
                  <c:v>733.99</c:v>
                </c:pt>
                <c:pt idx="58">
                  <c:v>735.04</c:v>
                </c:pt>
                <c:pt idx="59">
                  <c:v>715.74</c:v>
                </c:pt>
                <c:pt idx="60">
                  <c:v>716.6</c:v>
                </c:pt>
                <c:pt idx="61">
                  <c:v>-111.54</c:v>
                </c:pt>
                <c:pt idx="62">
                  <c:v>234.28</c:v>
                </c:pt>
                <c:pt idx="63">
                  <c:v>724.84</c:v>
                </c:pt>
                <c:pt idx="64">
                  <c:v>725.7</c:v>
                </c:pt>
                <c:pt idx="65">
                  <c:v>706.77</c:v>
                </c:pt>
                <c:pt idx="66">
                  <c:v>-447.54</c:v>
                </c:pt>
                <c:pt idx="67">
                  <c:v>707.36</c:v>
                </c:pt>
                <c:pt idx="68">
                  <c:v>643.62</c:v>
                </c:pt>
                <c:pt idx="69">
                  <c:v>-345.67</c:v>
                </c:pt>
                <c:pt idx="70">
                  <c:v>-111.52</c:v>
                </c:pt>
                <c:pt idx="71">
                  <c:v>-109.45</c:v>
                </c:pt>
                <c:pt idx="72">
                  <c:v>715.87</c:v>
                </c:pt>
                <c:pt idx="73">
                  <c:v>716.46</c:v>
                </c:pt>
                <c:pt idx="74">
                  <c:v>-447.56</c:v>
                </c:pt>
                <c:pt idx="75">
                  <c:v>-537.39</c:v>
                </c:pt>
                <c:pt idx="76">
                  <c:v>-345.7</c:v>
                </c:pt>
                <c:pt idx="77">
                  <c:v>697.81</c:v>
                </c:pt>
                <c:pt idx="78">
                  <c:v>357.38</c:v>
                </c:pt>
                <c:pt idx="79">
                  <c:v>698.18</c:v>
                </c:pt>
                <c:pt idx="80">
                  <c:v>-109.41</c:v>
                </c:pt>
                <c:pt idx="81">
                  <c:v>641.53</c:v>
                </c:pt>
                <c:pt idx="82">
                  <c:v>-537.38</c:v>
                </c:pt>
                <c:pt idx="83">
                  <c:v>706.91</c:v>
                </c:pt>
                <c:pt idx="84">
                  <c:v>-445.83</c:v>
                </c:pt>
                <c:pt idx="85">
                  <c:v>-344.48</c:v>
                </c:pt>
                <c:pt idx="86">
                  <c:v>707.28</c:v>
                </c:pt>
                <c:pt idx="87">
                  <c:v>-226.55</c:v>
                </c:pt>
                <c:pt idx="88">
                  <c:v>-513.77</c:v>
                </c:pt>
                <c:pt idx="89">
                  <c:v>689.08</c:v>
                </c:pt>
                <c:pt idx="90">
                  <c:v>689.26</c:v>
                </c:pt>
                <c:pt idx="91">
                  <c:v>352.9</c:v>
                </c:pt>
                <c:pt idx="92">
                  <c:v>-445.85</c:v>
                </c:pt>
                <c:pt idx="93">
                  <c:v>-344.51</c:v>
                </c:pt>
                <c:pt idx="94">
                  <c:v>235.63</c:v>
                </c:pt>
                <c:pt idx="95">
                  <c:v>-513.77</c:v>
                </c:pt>
                <c:pt idx="96">
                  <c:v>680.45</c:v>
                </c:pt>
                <c:pt idx="97">
                  <c:v>-227.37</c:v>
                </c:pt>
                <c:pt idx="98">
                  <c:v>698.18</c:v>
                </c:pt>
                <c:pt idx="99">
                  <c:v>698.36</c:v>
                </c:pt>
                <c:pt idx="100">
                  <c:v>-224.41</c:v>
                </c:pt>
                <c:pt idx="101">
                  <c:v>689.55</c:v>
                </c:pt>
                <c:pt idx="102">
                  <c:v>232.98</c:v>
                </c:pt>
                <c:pt idx="103">
                  <c:v>232.02</c:v>
                </c:pt>
                <c:pt idx="104">
                  <c:v>350.85</c:v>
                </c:pt>
                <c:pt idx="105">
                  <c:v>455.51</c:v>
                </c:pt>
                <c:pt idx="106">
                  <c:v>-512.03</c:v>
                </c:pt>
                <c:pt idx="107">
                  <c:v>-225.27</c:v>
                </c:pt>
                <c:pt idx="108">
                  <c:v>639.72</c:v>
                </c:pt>
                <c:pt idx="109">
                  <c:v>637.03</c:v>
                </c:pt>
                <c:pt idx="110">
                  <c:v>-512.03</c:v>
                </c:pt>
                <c:pt idx="111">
                  <c:v>229.95</c:v>
                </c:pt>
                <c:pt idx="112">
                  <c:v>-111.34</c:v>
                </c:pt>
                <c:pt idx="113">
                  <c:v>459.4</c:v>
                </c:pt>
                <c:pt idx="114">
                  <c:v>355.27</c:v>
                </c:pt>
                <c:pt idx="115">
                  <c:v>462.02</c:v>
                </c:pt>
                <c:pt idx="116">
                  <c:v>635.33000000000004</c:v>
                </c:pt>
                <c:pt idx="117">
                  <c:v>637.63</c:v>
                </c:pt>
                <c:pt idx="118">
                  <c:v>550.70000000000005</c:v>
                </c:pt>
                <c:pt idx="119">
                  <c:v>-111.3</c:v>
                </c:pt>
                <c:pt idx="120">
                  <c:v>-109.25</c:v>
                </c:pt>
                <c:pt idx="121">
                  <c:v>457.98</c:v>
                </c:pt>
                <c:pt idx="122">
                  <c:v>556.45000000000005</c:v>
                </c:pt>
                <c:pt idx="123">
                  <c:v>-345.62</c:v>
                </c:pt>
                <c:pt idx="124">
                  <c:v>351.91</c:v>
                </c:pt>
                <c:pt idx="125">
                  <c:v>-446.59</c:v>
                </c:pt>
                <c:pt idx="126">
                  <c:v>-109.19</c:v>
                </c:pt>
                <c:pt idx="127">
                  <c:v>553.69000000000005</c:v>
                </c:pt>
                <c:pt idx="128">
                  <c:v>-446.6</c:v>
                </c:pt>
                <c:pt idx="129">
                  <c:v>-345.65</c:v>
                </c:pt>
                <c:pt idx="130">
                  <c:v>-536.66</c:v>
                </c:pt>
                <c:pt idx="131">
                  <c:v>348.06</c:v>
                </c:pt>
                <c:pt idx="132">
                  <c:v>-225.23</c:v>
                </c:pt>
                <c:pt idx="133">
                  <c:v>553.46</c:v>
                </c:pt>
                <c:pt idx="134">
                  <c:v>737.03</c:v>
                </c:pt>
                <c:pt idx="135">
                  <c:v>-173.37</c:v>
                </c:pt>
                <c:pt idx="136">
                  <c:v>-536.66</c:v>
                </c:pt>
                <c:pt idx="137">
                  <c:v>-344.43</c:v>
                </c:pt>
                <c:pt idx="138">
                  <c:v>-225.92</c:v>
                </c:pt>
                <c:pt idx="139">
                  <c:v>230.72</c:v>
                </c:pt>
                <c:pt idx="140">
                  <c:v>-445.15</c:v>
                </c:pt>
                <c:pt idx="141">
                  <c:v>-225.24</c:v>
                </c:pt>
                <c:pt idx="142">
                  <c:v>-173.4</c:v>
                </c:pt>
                <c:pt idx="143">
                  <c:v>735.47</c:v>
                </c:pt>
                <c:pt idx="144">
                  <c:v>-344.44</c:v>
                </c:pt>
                <c:pt idx="145">
                  <c:v>450.33</c:v>
                </c:pt>
                <c:pt idx="146">
                  <c:v>-512.41</c:v>
                </c:pt>
                <c:pt idx="147">
                  <c:v>-445.16</c:v>
                </c:pt>
                <c:pt idx="148">
                  <c:v>633.14</c:v>
                </c:pt>
                <c:pt idx="149">
                  <c:v>-259.33</c:v>
                </c:pt>
                <c:pt idx="150">
                  <c:v>630.52</c:v>
                </c:pt>
                <c:pt idx="151">
                  <c:v>-226.79</c:v>
                </c:pt>
                <c:pt idx="152">
                  <c:v>-113.22</c:v>
                </c:pt>
                <c:pt idx="153">
                  <c:v>346</c:v>
                </c:pt>
                <c:pt idx="154">
                  <c:v>227.69</c:v>
                </c:pt>
                <c:pt idx="155">
                  <c:v>-512.41</c:v>
                </c:pt>
                <c:pt idx="156">
                  <c:v>-259.33</c:v>
                </c:pt>
                <c:pt idx="157">
                  <c:v>228.08</c:v>
                </c:pt>
                <c:pt idx="158">
                  <c:v>453.51</c:v>
                </c:pt>
                <c:pt idx="159">
                  <c:v>-224.16</c:v>
                </c:pt>
                <c:pt idx="160">
                  <c:v>-113.47</c:v>
                </c:pt>
                <c:pt idx="161">
                  <c:v>629.15</c:v>
                </c:pt>
                <c:pt idx="162">
                  <c:v>631.44000000000005</c:v>
                </c:pt>
                <c:pt idx="163">
                  <c:v>349.79</c:v>
                </c:pt>
                <c:pt idx="164">
                  <c:v>225.62</c:v>
                </c:pt>
                <c:pt idx="165">
                  <c:v>-224.69</c:v>
                </c:pt>
                <c:pt idx="166">
                  <c:v>-225.61</c:v>
                </c:pt>
                <c:pt idx="167">
                  <c:v>456.13</c:v>
                </c:pt>
                <c:pt idx="168">
                  <c:v>-173.94</c:v>
                </c:pt>
                <c:pt idx="169">
                  <c:v>-510.83</c:v>
                </c:pt>
                <c:pt idx="170">
                  <c:v>545.15</c:v>
                </c:pt>
                <c:pt idx="171">
                  <c:v>-271.56</c:v>
                </c:pt>
                <c:pt idx="172">
                  <c:v>-111.14</c:v>
                </c:pt>
                <c:pt idx="173">
                  <c:v>-225.62</c:v>
                </c:pt>
                <c:pt idx="174">
                  <c:v>-173.97</c:v>
                </c:pt>
                <c:pt idx="175">
                  <c:v>-54.91</c:v>
                </c:pt>
                <c:pt idx="176">
                  <c:v>-510.84</c:v>
                </c:pt>
                <c:pt idx="177">
                  <c:v>-271.55</c:v>
                </c:pt>
                <c:pt idx="178">
                  <c:v>452.81</c:v>
                </c:pt>
                <c:pt idx="179">
                  <c:v>-259.52</c:v>
                </c:pt>
                <c:pt idx="180">
                  <c:v>550.37</c:v>
                </c:pt>
                <c:pt idx="181">
                  <c:v>547.6</c:v>
                </c:pt>
                <c:pt idx="182">
                  <c:v>-113.98</c:v>
                </c:pt>
                <c:pt idx="183">
                  <c:v>-111.08</c:v>
                </c:pt>
                <c:pt idx="184">
                  <c:v>-54.91</c:v>
                </c:pt>
                <c:pt idx="185">
                  <c:v>729.36</c:v>
                </c:pt>
                <c:pt idx="186">
                  <c:v>813.12</c:v>
                </c:pt>
                <c:pt idx="187">
                  <c:v>731.68</c:v>
                </c:pt>
                <c:pt idx="188">
                  <c:v>-109.05</c:v>
                </c:pt>
                <c:pt idx="189">
                  <c:v>-259.52</c:v>
                </c:pt>
                <c:pt idx="190">
                  <c:v>811.83</c:v>
                </c:pt>
                <c:pt idx="191">
                  <c:v>346.44</c:v>
                </c:pt>
                <c:pt idx="192">
                  <c:v>-114.23</c:v>
                </c:pt>
                <c:pt idx="193">
                  <c:v>728.17</c:v>
                </c:pt>
                <c:pt idx="194">
                  <c:v>547.91</c:v>
                </c:pt>
                <c:pt idx="195">
                  <c:v>-108.97</c:v>
                </c:pt>
                <c:pt idx="196">
                  <c:v>730.12</c:v>
                </c:pt>
                <c:pt idx="197">
                  <c:v>343.27</c:v>
                </c:pt>
                <c:pt idx="198">
                  <c:v>120.83</c:v>
                </c:pt>
                <c:pt idx="199">
                  <c:v>-345.56</c:v>
                </c:pt>
                <c:pt idx="200">
                  <c:v>-445.91</c:v>
                </c:pt>
                <c:pt idx="201">
                  <c:v>626.62</c:v>
                </c:pt>
                <c:pt idx="202">
                  <c:v>-55.86</c:v>
                </c:pt>
                <c:pt idx="203">
                  <c:v>-344.41</c:v>
                </c:pt>
                <c:pt idx="204">
                  <c:v>624.08000000000004</c:v>
                </c:pt>
                <c:pt idx="205">
                  <c:v>-345.58</c:v>
                </c:pt>
                <c:pt idx="206">
                  <c:v>-344.42</c:v>
                </c:pt>
                <c:pt idx="207">
                  <c:v>118.83</c:v>
                </c:pt>
                <c:pt idx="208">
                  <c:v>-445.92</c:v>
                </c:pt>
                <c:pt idx="209">
                  <c:v>445.16</c:v>
                </c:pt>
                <c:pt idx="210">
                  <c:v>-445.22</c:v>
                </c:pt>
                <c:pt idx="211">
                  <c:v>-445.23</c:v>
                </c:pt>
                <c:pt idx="212">
                  <c:v>-55.86</c:v>
                </c:pt>
                <c:pt idx="213">
                  <c:v>-223.91</c:v>
                </c:pt>
                <c:pt idx="214">
                  <c:v>623.05999999999995</c:v>
                </c:pt>
                <c:pt idx="215">
                  <c:v>-535.91999999999996</c:v>
                </c:pt>
                <c:pt idx="216">
                  <c:v>225.82</c:v>
                </c:pt>
                <c:pt idx="217">
                  <c:v>625.25</c:v>
                </c:pt>
                <c:pt idx="218">
                  <c:v>-224.11</c:v>
                </c:pt>
                <c:pt idx="219">
                  <c:v>447.62</c:v>
                </c:pt>
                <c:pt idx="220">
                  <c:v>324.37</c:v>
                </c:pt>
                <c:pt idx="221">
                  <c:v>-535.91</c:v>
                </c:pt>
                <c:pt idx="222">
                  <c:v>366.01</c:v>
                </c:pt>
                <c:pt idx="223">
                  <c:v>341.16</c:v>
                </c:pt>
                <c:pt idx="224">
                  <c:v>366.62</c:v>
                </c:pt>
                <c:pt idx="225">
                  <c:v>804.54</c:v>
                </c:pt>
                <c:pt idx="226">
                  <c:v>-225.67</c:v>
                </c:pt>
                <c:pt idx="227">
                  <c:v>180.79</c:v>
                </c:pt>
                <c:pt idx="228">
                  <c:v>223.36</c:v>
                </c:pt>
                <c:pt idx="229">
                  <c:v>370.56</c:v>
                </c:pt>
                <c:pt idx="230">
                  <c:v>803.54</c:v>
                </c:pt>
                <c:pt idx="231">
                  <c:v>858.48</c:v>
                </c:pt>
                <c:pt idx="232">
                  <c:v>371.17</c:v>
                </c:pt>
                <c:pt idx="233">
                  <c:v>806.4</c:v>
                </c:pt>
                <c:pt idx="234">
                  <c:v>223.18</c:v>
                </c:pt>
                <c:pt idx="235">
                  <c:v>-226.2</c:v>
                </c:pt>
                <c:pt idx="236">
                  <c:v>857.42</c:v>
                </c:pt>
                <c:pt idx="237">
                  <c:v>344.31</c:v>
                </c:pt>
                <c:pt idx="238">
                  <c:v>323.18</c:v>
                </c:pt>
                <c:pt idx="239">
                  <c:v>119.7</c:v>
                </c:pt>
                <c:pt idx="240">
                  <c:v>539.6</c:v>
                </c:pt>
                <c:pt idx="241">
                  <c:v>178.32</c:v>
                </c:pt>
                <c:pt idx="242">
                  <c:v>805.1</c:v>
                </c:pt>
                <c:pt idx="243">
                  <c:v>450.24</c:v>
                </c:pt>
                <c:pt idx="244">
                  <c:v>721.74</c:v>
                </c:pt>
                <c:pt idx="245">
                  <c:v>-511.21</c:v>
                </c:pt>
                <c:pt idx="246">
                  <c:v>221.3</c:v>
                </c:pt>
                <c:pt idx="247">
                  <c:v>724.01</c:v>
                </c:pt>
                <c:pt idx="248">
                  <c:v>-511.22</c:v>
                </c:pt>
                <c:pt idx="249">
                  <c:v>720.87</c:v>
                </c:pt>
                <c:pt idx="250">
                  <c:v>541.52</c:v>
                </c:pt>
                <c:pt idx="251">
                  <c:v>-510.09</c:v>
                </c:pt>
                <c:pt idx="252">
                  <c:v>117.7</c:v>
                </c:pt>
                <c:pt idx="253">
                  <c:v>177.3</c:v>
                </c:pt>
                <c:pt idx="254">
                  <c:v>544.29</c:v>
                </c:pt>
                <c:pt idx="255">
                  <c:v>-510.09</c:v>
                </c:pt>
                <c:pt idx="256">
                  <c:v>-108.84</c:v>
                </c:pt>
                <c:pt idx="257">
                  <c:v>229.76</c:v>
                </c:pt>
                <c:pt idx="258">
                  <c:v>447.65</c:v>
                </c:pt>
                <c:pt idx="259">
                  <c:v>722.82</c:v>
                </c:pt>
                <c:pt idx="260">
                  <c:v>-108.8</c:v>
                </c:pt>
                <c:pt idx="261">
                  <c:v>-110.94</c:v>
                </c:pt>
                <c:pt idx="262">
                  <c:v>322.42</c:v>
                </c:pt>
                <c:pt idx="263">
                  <c:v>179.74</c:v>
                </c:pt>
                <c:pt idx="264">
                  <c:v>542.36</c:v>
                </c:pt>
                <c:pt idx="265">
                  <c:v>233.29</c:v>
                </c:pt>
                <c:pt idx="266">
                  <c:v>231.98</c:v>
                </c:pt>
                <c:pt idx="267">
                  <c:v>849.23</c:v>
                </c:pt>
                <c:pt idx="268">
                  <c:v>-445.25</c:v>
                </c:pt>
                <c:pt idx="269">
                  <c:v>848.38</c:v>
                </c:pt>
                <c:pt idx="270">
                  <c:v>-110.85</c:v>
                </c:pt>
                <c:pt idx="271">
                  <c:v>-344.43</c:v>
                </c:pt>
                <c:pt idx="272">
                  <c:v>277.51</c:v>
                </c:pt>
                <c:pt idx="273">
                  <c:v>321.23</c:v>
                </c:pt>
                <c:pt idx="274">
                  <c:v>796.06</c:v>
                </c:pt>
                <c:pt idx="275">
                  <c:v>850.64</c:v>
                </c:pt>
                <c:pt idx="276">
                  <c:v>340.98</c:v>
                </c:pt>
                <c:pt idx="277">
                  <c:v>231</c:v>
                </c:pt>
                <c:pt idx="278">
                  <c:v>849.59</c:v>
                </c:pt>
                <c:pt idx="279">
                  <c:v>795.3</c:v>
                </c:pt>
                <c:pt idx="280">
                  <c:v>-223.73</c:v>
                </c:pt>
                <c:pt idx="281">
                  <c:v>280.58999999999997</c:v>
                </c:pt>
                <c:pt idx="282">
                  <c:v>617.64</c:v>
                </c:pt>
                <c:pt idx="283">
                  <c:v>620.17999999999995</c:v>
                </c:pt>
                <c:pt idx="284">
                  <c:v>797.81</c:v>
                </c:pt>
                <c:pt idx="285">
                  <c:v>338.64</c:v>
                </c:pt>
                <c:pt idx="286">
                  <c:v>279.20999999999998</c:v>
                </c:pt>
                <c:pt idx="287">
                  <c:v>616.98</c:v>
                </c:pt>
                <c:pt idx="288">
                  <c:v>796.82</c:v>
                </c:pt>
                <c:pt idx="289">
                  <c:v>-345.55</c:v>
                </c:pt>
                <c:pt idx="290">
                  <c:v>-345.56</c:v>
                </c:pt>
                <c:pt idx="291">
                  <c:v>278.89</c:v>
                </c:pt>
                <c:pt idx="292">
                  <c:v>619.16</c:v>
                </c:pt>
                <c:pt idx="293">
                  <c:v>-445.98</c:v>
                </c:pt>
                <c:pt idx="294">
                  <c:v>440.01</c:v>
                </c:pt>
                <c:pt idx="295">
                  <c:v>371.5</c:v>
                </c:pt>
                <c:pt idx="296">
                  <c:v>-445.99</c:v>
                </c:pt>
                <c:pt idx="297">
                  <c:v>840.17</c:v>
                </c:pt>
                <c:pt idx="298">
                  <c:v>-225.42</c:v>
                </c:pt>
                <c:pt idx="299">
                  <c:v>-509.58</c:v>
                </c:pt>
                <c:pt idx="300">
                  <c:v>839.66</c:v>
                </c:pt>
                <c:pt idx="301">
                  <c:v>-225.62</c:v>
                </c:pt>
                <c:pt idx="302">
                  <c:v>441.85</c:v>
                </c:pt>
                <c:pt idx="303">
                  <c:v>370.59</c:v>
                </c:pt>
                <c:pt idx="304">
                  <c:v>714.25</c:v>
                </c:pt>
                <c:pt idx="305">
                  <c:v>218.28</c:v>
                </c:pt>
                <c:pt idx="306">
                  <c:v>716.39</c:v>
                </c:pt>
                <c:pt idx="307">
                  <c:v>841.39</c:v>
                </c:pt>
                <c:pt idx="308">
                  <c:v>-535.15</c:v>
                </c:pt>
                <c:pt idx="309">
                  <c:v>713.58</c:v>
                </c:pt>
                <c:pt idx="310">
                  <c:v>216.98</c:v>
                </c:pt>
                <c:pt idx="311">
                  <c:v>840.54</c:v>
                </c:pt>
                <c:pt idx="312">
                  <c:v>-535.14</c:v>
                </c:pt>
                <c:pt idx="313">
                  <c:v>220.92</c:v>
                </c:pt>
                <c:pt idx="314">
                  <c:v>336.51</c:v>
                </c:pt>
                <c:pt idx="315">
                  <c:v>715.52</c:v>
                </c:pt>
                <c:pt idx="316">
                  <c:v>534.05999999999995</c:v>
                </c:pt>
                <c:pt idx="317">
                  <c:v>-108.65</c:v>
                </c:pt>
                <c:pt idx="318">
                  <c:v>219.04</c:v>
                </c:pt>
                <c:pt idx="319">
                  <c:v>338.84</c:v>
                </c:pt>
                <c:pt idx="320">
                  <c:v>535.45000000000005</c:v>
                </c:pt>
                <c:pt idx="321">
                  <c:v>787.67</c:v>
                </c:pt>
                <c:pt idx="322">
                  <c:v>787.31</c:v>
                </c:pt>
                <c:pt idx="323">
                  <c:v>444.46</c:v>
                </c:pt>
                <c:pt idx="324">
                  <c:v>368.82</c:v>
                </c:pt>
                <c:pt idx="325">
                  <c:v>538.22</c:v>
                </c:pt>
                <c:pt idx="326">
                  <c:v>831.19</c:v>
                </c:pt>
                <c:pt idx="327">
                  <c:v>789.33</c:v>
                </c:pt>
                <c:pt idx="328">
                  <c:v>-510.47</c:v>
                </c:pt>
                <c:pt idx="329">
                  <c:v>830.99</c:v>
                </c:pt>
                <c:pt idx="330">
                  <c:v>-110.73</c:v>
                </c:pt>
                <c:pt idx="331">
                  <c:v>611.22</c:v>
                </c:pt>
                <c:pt idx="332">
                  <c:v>-510.47</c:v>
                </c:pt>
                <c:pt idx="333">
                  <c:v>788.58</c:v>
                </c:pt>
                <c:pt idx="334">
                  <c:v>409.9</c:v>
                </c:pt>
                <c:pt idx="335">
                  <c:v>442.61</c:v>
                </c:pt>
                <c:pt idx="336">
                  <c:v>367.91</c:v>
                </c:pt>
                <c:pt idx="337">
                  <c:v>-110.69</c:v>
                </c:pt>
                <c:pt idx="338">
                  <c:v>409.14</c:v>
                </c:pt>
                <c:pt idx="339">
                  <c:v>536.82000000000005</c:v>
                </c:pt>
                <c:pt idx="340">
                  <c:v>832.33</c:v>
                </c:pt>
                <c:pt idx="341">
                  <c:v>831.82</c:v>
                </c:pt>
                <c:pt idx="342">
                  <c:v>-446.01</c:v>
                </c:pt>
                <c:pt idx="343">
                  <c:v>-534.5</c:v>
                </c:pt>
                <c:pt idx="344">
                  <c:v>-345.57</c:v>
                </c:pt>
                <c:pt idx="345">
                  <c:v>613.75</c:v>
                </c:pt>
                <c:pt idx="346">
                  <c:v>848.34</c:v>
                </c:pt>
                <c:pt idx="347">
                  <c:v>-225.24</c:v>
                </c:pt>
                <c:pt idx="348">
                  <c:v>613.08000000000004</c:v>
                </c:pt>
                <c:pt idx="349">
                  <c:v>849.42</c:v>
                </c:pt>
                <c:pt idx="350">
                  <c:v>335.52</c:v>
                </c:pt>
                <c:pt idx="351">
                  <c:v>406.54</c:v>
                </c:pt>
                <c:pt idx="352">
                  <c:v>822.47</c:v>
                </c:pt>
                <c:pt idx="353">
                  <c:v>822.39</c:v>
                </c:pt>
                <c:pt idx="354">
                  <c:v>334.01</c:v>
                </c:pt>
                <c:pt idx="355">
                  <c:v>706.77</c:v>
                </c:pt>
                <c:pt idx="356">
                  <c:v>405.78</c:v>
                </c:pt>
                <c:pt idx="357">
                  <c:v>432.85</c:v>
                </c:pt>
                <c:pt idx="358">
                  <c:v>432.24</c:v>
                </c:pt>
                <c:pt idx="359">
                  <c:v>706.35</c:v>
                </c:pt>
                <c:pt idx="360">
                  <c:v>708.9</c:v>
                </c:pt>
                <c:pt idx="361">
                  <c:v>213.41</c:v>
                </c:pt>
                <c:pt idx="362">
                  <c:v>779.45</c:v>
                </c:pt>
                <c:pt idx="363">
                  <c:v>779.35</c:v>
                </c:pt>
                <c:pt idx="364">
                  <c:v>823.35</c:v>
                </c:pt>
                <c:pt idx="365">
                  <c:v>823.15</c:v>
                </c:pt>
                <c:pt idx="366">
                  <c:v>708.23</c:v>
                </c:pt>
                <c:pt idx="367">
                  <c:v>434.96</c:v>
                </c:pt>
                <c:pt idx="368">
                  <c:v>780.95</c:v>
                </c:pt>
                <c:pt idx="369">
                  <c:v>-509.96</c:v>
                </c:pt>
                <c:pt idx="370">
                  <c:v>436.19</c:v>
                </c:pt>
                <c:pt idx="371">
                  <c:v>780.58</c:v>
                </c:pt>
                <c:pt idx="372">
                  <c:v>839.09</c:v>
                </c:pt>
                <c:pt idx="373">
                  <c:v>839.88</c:v>
                </c:pt>
                <c:pt idx="374">
                  <c:v>216.02</c:v>
                </c:pt>
                <c:pt idx="375">
                  <c:v>839.7</c:v>
                </c:pt>
                <c:pt idx="376">
                  <c:v>428.93</c:v>
                </c:pt>
                <c:pt idx="377">
                  <c:v>840.78</c:v>
                </c:pt>
                <c:pt idx="378">
                  <c:v>214.72</c:v>
                </c:pt>
                <c:pt idx="379">
                  <c:v>428.32</c:v>
                </c:pt>
                <c:pt idx="380">
                  <c:v>813.9</c:v>
                </c:pt>
                <c:pt idx="381">
                  <c:v>528.52</c:v>
                </c:pt>
                <c:pt idx="382">
                  <c:v>529.38</c:v>
                </c:pt>
                <c:pt idx="383">
                  <c:v>-110.53</c:v>
                </c:pt>
                <c:pt idx="384">
                  <c:v>331.88</c:v>
                </c:pt>
                <c:pt idx="385">
                  <c:v>830.01</c:v>
                </c:pt>
                <c:pt idx="386">
                  <c:v>830.52</c:v>
                </c:pt>
                <c:pt idx="387">
                  <c:v>333.41</c:v>
                </c:pt>
                <c:pt idx="388">
                  <c:v>814.63</c:v>
                </c:pt>
                <c:pt idx="389">
                  <c:v>814.55</c:v>
                </c:pt>
                <c:pt idx="390">
                  <c:v>607.32000000000005</c:v>
                </c:pt>
                <c:pt idx="391">
                  <c:v>532.15</c:v>
                </c:pt>
                <c:pt idx="392">
                  <c:v>438.81</c:v>
                </c:pt>
                <c:pt idx="393">
                  <c:v>771.49</c:v>
                </c:pt>
                <c:pt idx="394">
                  <c:v>830.45</c:v>
                </c:pt>
                <c:pt idx="395">
                  <c:v>831.24</c:v>
                </c:pt>
                <c:pt idx="396">
                  <c:v>437.58</c:v>
                </c:pt>
                <c:pt idx="397">
                  <c:v>531.28</c:v>
                </c:pt>
                <c:pt idx="398">
                  <c:v>846.75</c:v>
                </c:pt>
                <c:pt idx="399">
                  <c:v>699.43</c:v>
                </c:pt>
                <c:pt idx="400">
                  <c:v>330.08</c:v>
                </c:pt>
                <c:pt idx="401">
                  <c:v>821</c:v>
                </c:pt>
                <c:pt idx="402">
                  <c:v>821.18</c:v>
                </c:pt>
                <c:pt idx="403">
                  <c:v>772.72</c:v>
                </c:pt>
                <c:pt idx="404">
                  <c:v>772.62</c:v>
                </c:pt>
                <c:pt idx="405">
                  <c:v>821.36</c:v>
                </c:pt>
                <c:pt idx="406">
                  <c:v>701.42</c:v>
                </c:pt>
                <c:pt idx="407">
                  <c:v>821.88</c:v>
                </c:pt>
                <c:pt idx="408">
                  <c:v>427.8</c:v>
                </c:pt>
                <c:pt idx="409">
                  <c:v>701</c:v>
                </c:pt>
                <c:pt idx="410">
                  <c:v>428.41</c:v>
                </c:pt>
                <c:pt idx="411">
                  <c:v>806.06</c:v>
                </c:pt>
                <c:pt idx="412">
                  <c:v>837.25</c:v>
                </c:pt>
                <c:pt idx="413">
                  <c:v>812.21</c:v>
                </c:pt>
                <c:pt idx="414">
                  <c:v>812.12</c:v>
                </c:pt>
                <c:pt idx="415">
                  <c:v>423.47</c:v>
                </c:pt>
                <c:pt idx="416">
                  <c:v>424.09</c:v>
                </c:pt>
                <c:pt idx="417">
                  <c:v>211.15</c:v>
                </c:pt>
                <c:pt idx="418">
                  <c:v>430.54</c:v>
                </c:pt>
                <c:pt idx="419">
                  <c:v>812.36</c:v>
                </c:pt>
                <c:pt idx="420">
                  <c:v>812.54</c:v>
                </c:pt>
                <c:pt idx="421">
                  <c:v>523.42999999999995</c:v>
                </c:pt>
                <c:pt idx="422">
                  <c:v>827.89</c:v>
                </c:pt>
                <c:pt idx="423">
                  <c:v>427.08</c:v>
                </c:pt>
                <c:pt idx="424">
                  <c:v>803.41</c:v>
                </c:pt>
                <c:pt idx="425">
                  <c:v>764.76</c:v>
                </c:pt>
                <c:pt idx="426">
                  <c:v>433.16</c:v>
                </c:pt>
                <c:pt idx="427">
                  <c:v>328</c:v>
                </c:pt>
                <c:pt idx="428">
                  <c:v>526.20000000000005</c:v>
                </c:pt>
                <c:pt idx="429">
                  <c:v>803.57</c:v>
                </c:pt>
                <c:pt idx="430">
                  <c:v>803.48</c:v>
                </c:pt>
                <c:pt idx="431">
                  <c:v>818.57</c:v>
                </c:pt>
                <c:pt idx="432">
                  <c:v>694.08</c:v>
                </c:pt>
                <c:pt idx="433">
                  <c:v>794.77</c:v>
                </c:pt>
                <c:pt idx="434">
                  <c:v>800.82</c:v>
                </c:pt>
                <c:pt idx="435">
                  <c:v>809.53</c:v>
                </c:pt>
                <c:pt idx="436">
                  <c:v>809.61</c:v>
                </c:pt>
                <c:pt idx="437">
                  <c:v>809.46</c:v>
                </c:pt>
                <c:pt idx="438">
                  <c:v>818.42</c:v>
                </c:pt>
                <c:pt idx="439">
                  <c:v>696.77</c:v>
                </c:pt>
                <c:pt idx="440">
                  <c:v>818.17</c:v>
                </c:pt>
                <c:pt idx="441">
                  <c:v>526.77</c:v>
                </c:pt>
                <c:pt idx="442">
                  <c:v>818.25</c:v>
                </c:pt>
                <c:pt idx="443">
                  <c:v>327.45999999999998</c:v>
                </c:pt>
                <c:pt idx="444">
                  <c:v>433.53</c:v>
                </c:pt>
                <c:pt idx="445">
                  <c:v>426.5</c:v>
                </c:pt>
                <c:pt idx="446">
                  <c:v>827.47</c:v>
                </c:pt>
                <c:pt idx="447">
                  <c:v>769.4</c:v>
                </c:pt>
                <c:pt idx="448">
                  <c:v>522.86</c:v>
                </c:pt>
                <c:pt idx="449">
                  <c:v>827.21</c:v>
                </c:pt>
                <c:pt idx="450">
                  <c:v>827.06</c:v>
                </c:pt>
                <c:pt idx="451">
                  <c:v>430.18</c:v>
                </c:pt>
                <c:pt idx="452">
                  <c:v>211.48</c:v>
                </c:pt>
                <c:pt idx="453">
                  <c:v>431.4</c:v>
                </c:pt>
                <c:pt idx="454">
                  <c:v>430.82</c:v>
                </c:pt>
                <c:pt idx="455">
                  <c:v>836.55</c:v>
                </c:pt>
                <c:pt idx="456">
                  <c:v>703.68</c:v>
                </c:pt>
                <c:pt idx="457">
                  <c:v>836.53</c:v>
                </c:pt>
                <c:pt idx="458">
                  <c:v>836.11</c:v>
                </c:pt>
                <c:pt idx="459">
                  <c:v>704.01</c:v>
                </c:pt>
                <c:pt idx="460">
                  <c:v>330.63</c:v>
                </c:pt>
                <c:pt idx="461">
                  <c:v>777.28</c:v>
                </c:pt>
                <c:pt idx="462">
                  <c:v>777.36</c:v>
                </c:pt>
                <c:pt idx="463">
                  <c:v>845.76</c:v>
                </c:pt>
                <c:pt idx="464">
                  <c:v>702.11</c:v>
                </c:pt>
                <c:pt idx="465">
                  <c:v>531.87</c:v>
                </c:pt>
                <c:pt idx="466">
                  <c:v>437.95</c:v>
                </c:pt>
                <c:pt idx="467">
                  <c:v>845.89</c:v>
                </c:pt>
                <c:pt idx="468">
                  <c:v>532.72</c:v>
                </c:pt>
                <c:pt idx="469">
                  <c:v>845.19</c:v>
                </c:pt>
                <c:pt idx="470">
                  <c:v>814.17</c:v>
                </c:pt>
                <c:pt idx="471">
                  <c:v>608.55999999999995</c:v>
                </c:pt>
                <c:pt idx="472">
                  <c:v>439.18</c:v>
                </c:pt>
                <c:pt idx="473">
                  <c:v>332.9</c:v>
                </c:pt>
                <c:pt idx="474">
                  <c:v>331.38</c:v>
                </c:pt>
                <c:pt idx="475">
                  <c:v>776.12</c:v>
                </c:pt>
                <c:pt idx="476">
                  <c:v>-109.32</c:v>
                </c:pt>
                <c:pt idx="477">
                  <c:v>528.79999999999995</c:v>
                </c:pt>
                <c:pt idx="478">
                  <c:v>527.94000000000005</c:v>
                </c:pt>
                <c:pt idx="479">
                  <c:v>215</c:v>
                </c:pt>
                <c:pt idx="480">
                  <c:v>855.39</c:v>
                </c:pt>
                <c:pt idx="481">
                  <c:v>854.4</c:v>
                </c:pt>
                <c:pt idx="482">
                  <c:v>216.35</c:v>
                </c:pt>
                <c:pt idx="483">
                  <c:v>-509.78</c:v>
                </c:pt>
                <c:pt idx="484">
                  <c:v>435.82</c:v>
                </c:pt>
                <c:pt idx="485">
                  <c:v>822.63</c:v>
                </c:pt>
                <c:pt idx="486">
                  <c:v>822.75</c:v>
                </c:pt>
                <c:pt idx="487">
                  <c:v>434.59</c:v>
                </c:pt>
                <c:pt idx="488">
                  <c:v>432.38</c:v>
                </c:pt>
                <c:pt idx="489">
                  <c:v>433.01</c:v>
                </c:pt>
                <c:pt idx="490">
                  <c:v>710.9</c:v>
                </c:pt>
                <c:pt idx="491">
                  <c:v>213.74</c:v>
                </c:pt>
                <c:pt idx="492">
                  <c:v>785.24</c:v>
                </c:pt>
                <c:pt idx="493">
                  <c:v>785.67</c:v>
                </c:pt>
                <c:pt idx="494">
                  <c:v>711.48</c:v>
                </c:pt>
                <c:pt idx="495">
                  <c:v>709.03</c:v>
                </c:pt>
                <c:pt idx="496">
                  <c:v>822</c:v>
                </c:pt>
                <c:pt idx="497">
                  <c:v>334.51</c:v>
                </c:pt>
                <c:pt idx="498">
                  <c:v>709.36</c:v>
                </c:pt>
                <c:pt idx="499">
                  <c:v>614.30999999999995</c:v>
                </c:pt>
                <c:pt idx="500">
                  <c:v>336.03</c:v>
                </c:pt>
                <c:pt idx="501">
                  <c:v>784.01</c:v>
                </c:pt>
                <c:pt idx="502">
                  <c:v>784.08</c:v>
                </c:pt>
                <c:pt idx="503">
                  <c:v>408.09</c:v>
                </c:pt>
                <c:pt idx="504">
                  <c:v>-224.36</c:v>
                </c:pt>
                <c:pt idx="505">
                  <c:v>408.93</c:v>
                </c:pt>
                <c:pt idx="506">
                  <c:v>614.98</c:v>
                </c:pt>
                <c:pt idx="507">
                  <c:v>436.3</c:v>
                </c:pt>
                <c:pt idx="508">
                  <c:v>-345.36</c:v>
                </c:pt>
                <c:pt idx="509">
                  <c:v>436.93</c:v>
                </c:pt>
                <c:pt idx="510">
                  <c:v>831.23</c:v>
                </c:pt>
                <c:pt idx="511">
                  <c:v>-444.89</c:v>
                </c:pt>
                <c:pt idx="512">
                  <c:v>-534.5</c:v>
                </c:pt>
                <c:pt idx="513">
                  <c:v>831.44</c:v>
                </c:pt>
                <c:pt idx="514">
                  <c:v>537.4</c:v>
                </c:pt>
                <c:pt idx="515">
                  <c:v>-510.34</c:v>
                </c:pt>
                <c:pt idx="516">
                  <c:v>830.46</c:v>
                </c:pt>
                <c:pt idx="517">
                  <c:v>-109.47</c:v>
                </c:pt>
                <c:pt idx="518">
                  <c:v>830.59</c:v>
                </c:pt>
                <c:pt idx="519">
                  <c:v>-510.33</c:v>
                </c:pt>
                <c:pt idx="520">
                  <c:v>612.45000000000005</c:v>
                </c:pt>
                <c:pt idx="521">
                  <c:v>369.24</c:v>
                </c:pt>
                <c:pt idx="522">
                  <c:v>443</c:v>
                </c:pt>
                <c:pt idx="523">
                  <c:v>411.45</c:v>
                </c:pt>
                <c:pt idx="524">
                  <c:v>-109.51</c:v>
                </c:pt>
                <c:pt idx="525">
                  <c:v>538.79</c:v>
                </c:pt>
                <c:pt idx="526">
                  <c:v>412.29</c:v>
                </c:pt>
                <c:pt idx="527">
                  <c:v>370.09</c:v>
                </c:pt>
                <c:pt idx="528">
                  <c:v>444.84</c:v>
                </c:pt>
                <c:pt idx="529">
                  <c:v>793.23</c:v>
                </c:pt>
                <c:pt idx="530">
                  <c:v>534.87</c:v>
                </c:pt>
                <c:pt idx="531">
                  <c:v>219.31</c:v>
                </c:pt>
                <c:pt idx="532">
                  <c:v>338.36</c:v>
                </c:pt>
                <c:pt idx="533">
                  <c:v>794.06</c:v>
                </c:pt>
                <c:pt idx="534">
                  <c:v>-107.43</c:v>
                </c:pt>
                <c:pt idx="535">
                  <c:v>533.48</c:v>
                </c:pt>
                <c:pt idx="536">
                  <c:v>839.9</c:v>
                </c:pt>
                <c:pt idx="537">
                  <c:v>791.97</c:v>
                </c:pt>
                <c:pt idx="538">
                  <c:v>840.42</c:v>
                </c:pt>
                <c:pt idx="539">
                  <c:v>336.01</c:v>
                </c:pt>
                <c:pt idx="540">
                  <c:v>221.24</c:v>
                </c:pt>
                <c:pt idx="541">
                  <c:v>792.4</c:v>
                </c:pt>
                <c:pt idx="542">
                  <c:v>718.19</c:v>
                </c:pt>
                <c:pt idx="543">
                  <c:v>217.26</c:v>
                </c:pt>
                <c:pt idx="544">
                  <c:v>716.25</c:v>
                </c:pt>
                <c:pt idx="545">
                  <c:v>218.61</c:v>
                </c:pt>
                <c:pt idx="546">
                  <c:v>718.97</c:v>
                </c:pt>
                <c:pt idx="547">
                  <c:v>-535.14</c:v>
                </c:pt>
                <c:pt idx="548">
                  <c:v>839.07</c:v>
                </c:pt>
                <c:pt idx="549">
                  <c:v>839.27</c:v>
                </c:pt>
                <c:pt idx="550">
                  <c:v>-509.4</c:v>
                </c:pt>
                <c:pt idx="551">
                  <c:v>-224.8</c:v>
                </c:pt>
                <c:pt idx="552">
                  <c:v>-535.14</c:v>
                </c:pt>
                <c:pt idx="553">
                  <c:v>441.48</c:v>
                </c:pt>
                <c:pt idx="554">
                  <c:v>716.83</c:v>
                </c:pt>
                <c:pt idx="555">
                  <c:v>371.92</c:v>
                </c:pt>
                <c:pt idx="556">
                  <c:v>-224.48</c:v>
                </c:pt>
                <c:pt idx="557">
                  <c:v>-444.88</c:v>
                </c:pt>
                <c:pt idx="558">
                  <c:v>372.77</c:v>
                </c:pt>
                <c:pt idx="559">
                  <c:v>439.62</c:v>
                </c:pt>
                <c:pt idx="560">
                  <c:v>620.4</c:v>
                </c:pt>
                <c:pt idx="561">
                  <c:v>279.19</c:v>
                </c:pt>
                <c:pt idx="562">
                  <c:v>-444.87</c:v>
                </c:pt>
                <c:pt idx="563">
                  <c:v>-345.35</c:v>
                </c:pt>
                <c:pt idx="564">
                  <c:v>618.21</c:v>
                </c:pt>
                <c:pt idx="565">
                  <c:v>-345.33</c:v>
                </c:pt>
                <c:pt idx="566">
                  <c:v>278.91000000000003</c:v>
                </c:pt>
                <c:pt idx="567">
                  <c:v>848.68</c:v>
                </c:pt>
                <c:pt idx="568">
                  <c:v>339.14</c:v>
                </c:pt>
                <c:pt idx="569">
                  <c:v>621.41999999999996</c:v>
                </c:pt>
                <c:pt idx="570">
                  <c:v>618.88</c:v>
                </c:pt>
                <c:pt idx="571">
                  <c:v>849.49</c:v>
                </c:pt>
                <c:pt idx="572">
                  <c:v>280.88</c:v>
                </c:pt>
                <c:pt idx="573">
                  <c:v>-222.84</c:v>
                </c:pt>
                <c:pt idx="574">
                  <c:v>801.43</c:v>
                </c:pt>
                <c:pt idx="575">
                  <c:v>231.26</c:v>
                </c:pt>
                <c:pt idx="576">
                  <c:v>341.46</c:v>
                </c:pt>
                <c:pt idx="577">
                  <c:v>321.83999999999997</c:v>
                </c:pt>
                <c:pt idx="578">
                  <c:v>277.22000000000003</c:v>
                </c:pt>
                <c:pt idx="579">
                  <c:v>847.74</c:v>
                </c:pt>
                <c:pt idx="580">
                  <c:v>802.58</c:v>
                </c:pt>
                <c:pt idx="581">
                  <c:v>-344.22</c:v>
                </c:pt>
                <c:pt idx="582">
                  <c:v>848.26</c:v>
                </c:pt>
                <c:pt idx="583">
                  <c:v>-109.64</c:v>
                </c:pt>
                <c:pt idx="584">
                  <c:v>799.96</c:v>
                </c:pt>
                <c:pt idx="585">
                  <c:v>-444.13</c:v>
                </c:pt>
                <c:pt idx="586">
                  <c:v>542.95000000000005</c:v>
                </c:pt>
                <c:pt idx="587">
                  <c:v>231.79</c:v>
                </c:pt>
                <c:pt idx="588">
                  <c:v>233.47</c:v>
                </c:pt>
                <c:pt idx="589">
                  <c:v>800.79</c:v>
                </c:pt>
                <c:pt idx="590">
                  <c:v>323.04000000000002</c:v>
                </c:pt>
                <c:pt idx="591">
                  <c:v>179.48</c:v>
                </c:pt>
                <c:pt idx="592">
                  <c:v>-109.71</c:v>
                </c:pt>
                <c:pt idx="593">
                  <c:v>-509.96</c:v>
                </c:pt>
                <c:pt idx="594">
                  <c:v>-107.58</c:v>
                </c:pt>
                <c:pt idx="595">
                  <c:v>-509.95</c:v>
                </c:pt>
                <c:pt idx="596">
                  <c:v>544.87</c:v>
                </c:pt>
                <c:pt idx="597">
                  <c:v>229.5</c:v>
                </c:pt>
                <c:pt idx="598">
                  <c:v>448.15</c:v>
                </c:pt>
                <c:pt idx="599">
                  <c:v>857.7</c:v>
                </c:pt>
                <c:pt idx="600">
                  <c:v>-511.11</c:v>
                </c:pt>
                <c:pt idx="601">
                  <c:v>-107.62</c:v>
                </c:pt>
                <c:pt idx="602">
                  <c:v>725.48</c:v>
                </c:pt>
                <c:pt idx="603">
                  <c:v>540.95000000000005</c:v>
                </c:pt>
                <c:pt idx="604">
                  <c:v>117.84</c:v>
                </c:pt>
                <c:pt idx="605">
                  <c:v>177.01</c:v>
                </c:pt>
                <c:pt idx="606">
                  <c:v>858.8</c:v>
                </c:pt>
                <c:pt idx="607">
                  <c:v>-511.1</c:v>
                </c:pt>
                <c:pt idx="608">
                  <c:v>723.53</c:v>
                </c:pt>
                <c:pt idx="609">
                  <c:v>221.57</c:v>
                </c:pt>
                <c:pt idx="610">
                  <c:v>726.55</c:v>
                </c:pt>
                <c:pt idx="611">
                  <c:v>856.52</c:v>
                </c:pt>
                <c:pt idx="612">
                  <c:v>450.61</c:v>
                </c:pt>
                <c:pt idx="613">
                  <c:v>178.61</c:v>
                </c:pt>
                <c:pt idx="614">
                  <c:v>539.02</c:v>
                </c:pt>
                <c:pt idx="615">
                  <c:v>724.31</c:v>
                </c:pt>
                <c:pt idx="616">
                  <c:v>365.51</c:v>
                </c:pt>
                <c:pt idx="617">
                  <c:v>857.33</c:v>
                </c:pt>
                <c:pt idx="618">
                  <c:v>364.88</c:v>
                </c:pt>
                <c:pt idx="619">
                  <c:v>323.79000000000002</c:v>
                </c:pt>
                <c:pt idx="620">
                  <c:v>119.88</c:v>
                </c:pt>
                <c:pt idx="621">
                  <c:v>343.82</c:v>
                </c:pt>
                <c:pt idx="622">
                  <c:v>223.5</c:v>
                </c:pt>
                <c:pt idx="623">
                  <c:v>-225.4</c:v>
                </c:pt>
                <c:pt idx="624">
                  <c:v>360.96</c:v>
                </c:pt>
                <c:pt idx="625">
                  <c:v>360.32</c:v>
                </c:pt>
                <c:pt idx="626">
                  <c:v>223.63</c:v>
                </c:pt>
                <c:pt idx="627">
                  <c:v>809.72</c:v>
                </c:pt>
                <c:pt idx="628">
                  <c:v>181.05</c:v>
                </c:pt>
                <c:pt idx="629">
                  <c:v>-224.78</c:v>
                </c:pt>
                <c:pt idx="630">
                  <c:v>324.99</c:v>
                </c:pt>
                <c:pt idx="631">
                  <c:v>340.65</c:v>
                </c:pt>
                <c:pt idx="632">
                  <c:v>811.17</c:v>
                </c:pt>
                <c:pt idx="633">
                  <c:v>447.26</c:v>
                </c:pt>
                <c:pt idx="634">
                  <c:v>626.49</c:v>
                </c:pt>
                <c:pt idx="635">
                  <c:v>-223.29</c:v>
                </c:pt>
                <c:pt idx="636">
                  <c:v>808.15</c:v>
                </c:pt>
                <c:pt idx="637">
                  <c:v>624.29</c:v>
                </c:pt>
                <c:pt idx="638">
                  <c:v>226.13</c:v>
                </c:pt>
                <c:pt idx="639">
                  <c:v>-535.91999999999996</c:v>
                </c:pt>
                <c:pt idx="640">
                  <c:v>-222.97</c:v>
                </c:pt>
                <c:pt idx="641">
                  <c:v>-55.24</c:v>
                </c:pt>
                <c:pt idx="642">
                  <c:v>809.3</c:v>
                </c:pt>
                <c:pt idx="643">
                  <c:v>-535.91</c:v>
                </c:pt>
                <c:pt idx="644">
                  <c:v>-444.12</c:v>
                </c:pt>
                <c:pt idx="645">
                  <c:v>444.66</c:v>
                </c:pt>
                <c:pt idx="646">
                  <c:v>-444.11</c:v>
                </c:pt>
                <c:pt idx="647">
                  <c:v>118.97</c:v>
                </c:pt>
                <c:pt idx="648">
                  <c:v>-344.21</c:v>
                </c:pt>
                <c:pt idx="649">
                  <c:v>625.30999999999995</c:v>
                </c:pt>
                <c:pt idx="650">
                  <c:v>865.54</c:v>
                </c:pt>
                <c:pt idx="651">
                  <c:v>-444.86</c:v>
                </c:pt>
                <c:pt idx="652">
                  <c:v>-345.33</c:v>
                </c:pt>
                <c:pt idx="653">
                  <c:v>627.86</c:v>
                </c:pt>
                <c:pt idx="654">
                  <c:v>-344.19</c:v>
                </c:pt>
                <c:pt idx="655">
                  <c:v>866.63</c:v>
                </c:pt>
                <c:pt idx="656">
                  <c:v>-55.23</c:v>
                </c:pt>
                <c:pt idx="657">
                  <c:v>-444.84</c:v>
                </c:pt>
                <c:pt idx="658">
                  <c:v>-345.3</c:v>
                </c:pt>
                <c:pt idx="659">
                  <c:v>121.01</c:v>
                </c:pt>
                <c:pt idx="660">
                  <c:v>343.78</c:v>
                </c:pt>
                <c:pt idx="661">
                  <c:v>548.5</c:v>
                </c:pt>
                <c:pt idx="662">
                  <c:v>732.79</c:v>
                </c:pt>
                <c:pt idx="663">
                  <c:v>-107.75</c:v>
                </c:pt>
                <c:pt idx="664">
                  <c:v>-113.84</c:v>
                </c:pt>
                <c:pt idx="665">
                  <c:v>346.94</c:v>
                </c:pt>
                <c:pt idx="666">
                  <c:v>730.83</c:v>
                </c:pt>
                <c:pt idx="667">
                  <c:v>-259.51</c:v>
                </c:pt>
                <c:pt idx="668">
                  <c:v>-107.82</c:v>
                </c:pt>
                <c:pt idx="669">
                  <c:v>734.22</c:v>
                </c:pt>
                <c:pt idx="670">
                  <c:v>-54.3</c:v>
                </c:pt>
                <c:pt idx="671">
                  <c:v>547.03</c:v>
                </c:pt>
                <c:pt idx="672">
                  <c:v>-113.75</c:v>
                </c:pt>
                <c:pt idx="673">
                  <c:v>-109.86</c:v>
                </c:pt>
                <c:pt idx="674">
                  <c:v>731.9</c:v>
                </c:pt>
                <c:pt idx="675">
                  <c:v>816.45</c:v>
                </c:pt>
                <c:pt idx="676">
                  <c:v>550.95000000000005</c:v>
                </c:pt>
                <c:pt idx="677">
                  <c:v>-259.5</c:v>
                </c:pt>
                <c:pt idx="678">
                  <c:v>453.32</c:v>
                </c:pt>
                <c:pt idx="679">
                  <c:v>-510.73</c:v>
                </c:pt>
                <c:pt idx="680">
                  <c:v>-271.56</c:v>
                </c:pt>
                <c:pt idx="681">
                  <c:v>817.9</c:v>
                </c:pt>
                <c:pt idx="682">
                  <c:v>-54.29</c:v>
                </c:pt>
                <c:pt idx="683">
                  <c:v>-173.85</c:v>
                </c:pt>
                <c:pt idx="684">
                  <c:v>-510.72</c:v>
                </c:pt>
                <c:pt idx="685">
                  <c:v>-224.87</c:v>
                </c:pt>
                <c:pt idx="686">
                  <c:v>-109.91</c:v>
                </c:pt>
                <c:pt idx="687">
                  <c:v>544.55999999999995</c:v>
                </c:pt>
                <c:pt idx="688">
                  <c:v>-271.55</c:v>
                </c:pt>
                <c:pt idx="689">
                  <c:v>456.5</c:v>
                </c:pt>
                <c:pt idx="690">
                  <c:v>-173.81</c:v>
                </c:pt>
                <c:pt idx="691">
                  <c:v>-223.88</c:v>
                </c:pt>
                <c:pt idx="692">
                  <c:v>-224.84</c:v>
                </c:pt>
                <c:pt idx="693">
                  <c:v>225.89</c:v>
                </c:pt>
                <c:pt idx="694">
                  <c:v>349.29</c:v>
                </c:pt>
                <c:pt idx="695">
                  <c:v>632.66</c:v>
                </c:pt>
                <c:pt idx="696">
                  <c:v>630.38</c:v>
                </c:pt>
                <c:pt idx="697">
                  <c:v>-223.26</c:v>
                </c:pt>
                <c:pt idx="698">
                  <c:v>-113.08</c:v>
                </c:pt>
                <c:pt idx="699">
                  <c:v>453.15</c:v>
                </c:pt>
                <c:pt idx="700">
                  <c:v>-512.30999999999995</c:v>
                </c:pt>
                <c:pt idx="701">
                  <c:v>-259.32</c:v>
                </c:pt>
                <c:pt idx="702">
                  <c:v>228.39</c:v>
                </c:pt>
                <c:pt idx="703">
                  <c:v>227.94</c:v>
                </c:pt>
                <c:pt idx="704">
                  <c:v>345.44</c:v>
                </c:pt>
                <c:pt idx="705">
                  <c:v>-112.99</c:v>
                </c:pt>
                <c:pt idx="706">
                  <c:v>631.75</c:v>
                </c:pt>
                <c:pt idx="707">
                  <c:v>-512.29999999999995</c:v>
                </c:pt>
                <c:pt idx="708">
                  <c:v>-225.99</c:v>
                </c:pt>
                <c:pt idx="709">
                  <c:v>-259.31</c:v>
                </c:pt>
                <c:pt idx="710">
                  <c:v>634.36</c:v>
                </c:pt>
                <c:pt idx="711">
                  <c:v>449.82</c:v>
                </c:pt>
                <c:pt idx="712">
                  <c:v>-344.19</c:v>
                </c:pt>
                <c:pt idx="713">
                  <c:v>-444.1</c:v>
                </c:pt>
                <c:pt idx="714">
                  <c:v>-173.28</c:v>
                </c:pt>
                <c:pt idx="715">
                  <c:v>738.13</c:v>
                </c:pt>
                <c:pt idx="716">
                  <c:v>231.03</c:v>
                </c:pt>
                <c:pt idx="717">
                  <c:v>-224.49</c:v>
                </c:pt>
                <c:pt idx="718">
                  <c:v>-225.33</c:v>
                </c:pt>
                <c:pt idx="719">
                  <c:v>-444.08</c:v>
                </c:pt>
                <c:pt idx="720">
                  <c:v>-344.16</c:v>
                </c:pt>
                <c:pt idx="721">
                  <c:v>554.04999999999995</c:v>
                </c:pt>
                <c:pt idx="722">
                  <c:v>-173.24</c:v>
                </c:pt>
                <c:pt idx="723">
                  <c:v>-224.46</c:v>
                </c:pt>
                <c:pt idx="724">
                  <c:v>-536.66</c:v>
                </c:pt>
                <c:pt idx="725">
                  <c:v>739.56</c:v>
                </c:pt>
                <c:pt idx="726">
                  <c:v>348.63</c:v>
                </c:pt>
                <c:pt idx="727">
                  <c:v>-345.35</c:v>
                </c:pt>
                <c:pt idx="728">
                  <c:v>553.11</c:v>
                </c:pt>
                <c:pt idx="729">
                  <c:v>-536.65</c:v>
                </c:pt>
                <c:pt idx="730">
                  <c:v>-445.29</c:v>
                </c:pt>
                <c:pt idx="731">
                  <c:v>-107.97</c:v>
                </c:pt>
                <c:pt idx="732">
                  <c:v>557.03</c:v>
                </c:pt>
                <c:pt idx="733">
                  <c:v>352.41</c:v>
                </c:pt>
                <c:pt idx="734">
                  <c:v>-345.32</c:v>
                </c:pt>
                <c:pt idx="735">
                  <c:v>-445.26</c:v>
                </c:pt>
                <c:pt idx="736">
                  <c:v>458.5</c:v>
                </c:pt>
                <c:pt idx="737">
                  <c:v>-108.02</c:v>
                </c:pt>
                <c:pt idx="738">
                  <c:v>550.11</c:v>
                </c:pt>
                <c:pt idx="739">
                  <c:v>-110.08</c:v>
                </c:pt>
                <c:pt idx="740">
                  <c:v>638.85</c:v>
                </c:pt>
                <c:pt idx="741">
                  <c:v>636.55999999999995</c:v>
                </c:pt>
                <c:pt idx="742">
                  <c:v>462.39</c:v>
                </c:pt>
                <c:pt idx="743">
                  <c:v>459.03</c:v>
                </c:pt>
                <c:pt idx="744">
                  <c:v>354.75</c:v>
                </c:pt>
                <c:pt idx="745">
                  <c:v>-110.1</c:v>
                </c:pt>
                <c:pt idx="746">
                  <c:v>-511.93</c:v>
                </c:pt>
                <c:pt idx="747">
                  <c:v>230.2</c:v>
                </c:pt>
                <c:pt idx="748">
                  <c:v>638.26</c:v>
                </c:pt>
                <c:pt idx="749">
                  <c:v>640.95000000000005</c:v>
                </c:pt>
                <c:pt idx="750">
                  <c:v>678.14</c:v>
                </c:pt>
                <c:pt idx="751">
                  <c:v>-511.91</c:v>
                </c:pt>
                <c:pt idx="752">
                  <c:v>-224.47</c:v>
                </c:pt>
                <c:pt idx="753">
                  <c:v>686.93</c:v>
                </c:pt>
                <c:pt idx="754">
                  <c:v>455</c:v>
                </c:pt>
                <c:pt idx="755">
                  <c:v>686.76</c:v>
                </c:pt>
                <c:pt idx="756">
                  <c:v>232.31</c:v>
                </c:pt>
                <c:pt idx="757">
                  <c:v>350.28</c:v>
                </c:pt>
                <c:pt idx="758">
                  <c:v>669.04</c:v>
                </c:pt>
                <c:pt idx="759">
                  <c:v>233.29</c:v>
                </c:pt>
                <c:pt idx="760">
                  <c:v>-223.82</c:v>
                </c:pt>
                <c:pt idx="761">
                  <c:v>677.83</c:v>
                </c:pt>
                <c:pt idx="762">
                  <c:v>-513.63</c:v>
                </c:pt>
                <c:pt idx="763">
                  <c:v>677.66</c:v>
                </c:pt>
                <c:pt idx="764">
                  <c:v>-226.58</c:v>
                </c:pt>
                <c:pt idx="765">
                  <c:v>695.89</c:v>
                </c:pt>
                <c:pt idx="766">
                  <c:v>695.55</c:v>
                </c:pt>
                <c:pt idx="767">
                  <c:v>235.97</c:v>
                </c:pt>
                <c:pt idx="768">
                  <c:v>-344.21</c:v>
                </c:pt>
                <c:pt idx="769">
                  <c:v>353.48</c:v>
                </c:pt>
                <c:pt idx="770">
                  <c:v>-444.53</c:v>
                </c:pt>
                <c:pt idx="771">
                  <c:v>-513.61</c:v>
                </c:pt>
                <c:pt idx="772">
                  <c:v>-226.1</c:v>
                </c:pt>
                <c:pt idx="773">
                  <c:v>686.79</c:v>
                </c:pt>
                <c:pt idx="774">
                  <c:v>686.44</c:v>
                </c:pt>
                <c:pt idx="775">
                  <c:v>-344.18</c:v>
                </c:pt>
                <c:pt idx="776">
                  <c:v>-444.5</c:v>
                </c:pt>
                <c:pt idx="777">
                  <c:v>705.14</c:v>
                </c:pt>
                <c:pt idx="778">
                  <c:v>704.45</c:v>
                </c:pt>
                <c:pt idx="779">
                  <c:v>642.75</c:v>
                </c:pt>
                <c:pt idx="780">
                  <c:v>-537.39</c:v>
                </c:pt>
                <c:pt idx="781">
                  <c:v>-108.19</c:v>
                </c:pt>
                <c:pt idx="782">
                  <c:v>357.89</c:v>
                </c:pt>
                <c:pt idx="783">
                  <c:v>-345.38</c:v>
                </c:pt>
                <c:pt idx="784">
                  <c:v>696.04</c:v>
                </c:pt>
                <c:pt idx="785">
                  <c:v>695.34</c:v>
                </c:pt>
                <c:pt idx="786">
                  <c:v>-446.27</c:v>
                </c:pt>
                <c:pt idx="787">
                  <c:v>-537.38</c:v>
                </c:pt>
                <c:pt idx="788">
                  <c:v>714.4</c:v>
                </c:pt>
                <c:pt idx="789">
                  <c:v>713.42</c:v>
                </c:pt>
                <c:pt idx="790">
                  <c:v>-108.21</c:v>
                </c:pt>
                <c:pt idx="791">
                  <c:v>-110.29</c:v>
                </c:pt>
                <c:pt idx="792">
                  <c:v>644.84</c:v>
                </c:pt>
                <c:pt idx="793">
                  <c:v>-345.33</c:v>
                </c:pt>
                <c:pt idx="794">
                  <c:v>-446.24</c:v>
                </c:pt>
                <c:pt idx="795">
                  <c:v>705.29</c:v>
                </c:pt>
                <c:pt idx="796">
                  <c:v>704.32</c:v>
                </c:pt>
                <c:pt idx="797">
                  <c:v>723.74</c:v>
                </c:pt>
                <c:pt idx="798">
                  <c:v>722.63</c:v>
                </c:pt>
                <c:pt idx="799">
                  <c:v>234.57</c:v>
                </c:pt>
                <c:pt idx="800">
                  <c:v>-110.29</c:v>
                </c:pt>
                <c:pt idx="801">
                  <c:v>714.64</c:v>
                </c:pt>
                <c:pt idx="802">
                  <c:v>713.53</c:v>
                </c:pt>
                <c:pt idx="803">
                  <c:v>-513.25</c:v>
                </c:pt>
                <c:pt idx="804">
                  <c:v>-225.06</c:v>
                </c:pt>
                <c:pt idx="805">
                  <c:v>238.23</c:v>
                </c:pt>
                <c:pt idx="806">
                  <c:v>-513.23</c:v>
                </c:pt>
                <c:pt idx="807">
                  <c:v>-224.58</c:v>
                </c:pt>
                <c:pt idx="808">
                  <c:v>-227.17</c:v>
                </c:pt>
                <c:pt idx="809">
                  <c:v>-516.63</c:v>
                </c:pt>
                <c:pt idx="810">
                  <c:v>-344.24</c:v>
                </c:pt>
                <c:pt idx="811">
                  <c:v>-445.51</c:v>
                </c:pt>
                <c:pt idx="812">
                  <c:v>-226.86</c:v>
                </c:pt>
                <c:pt idx="813">
                  <c:v>-516.6</c:v>
                </c:pt>
                <c:pt idx="814">
                  <c:v>-108.4</c:v>
                </c:pt>
                <c:pt idx="815">
                  <c:v>-344.19</c:v>
                </c:pt>
                <c:pt idx="816">
                  <c:v>-445.48</c:v>
                </c:pt>
                <c:pt idx="817">
                  <c:v>-540.23</c:v>
                </c:pt>
                <c:pt idx="818">
                  <c:v>-346.43</c:v>
                </c:pt>
                <c:pt idx="819">
                  <c:v>-108.4</c:v>
                </c:pt>
                <c:pt idx="820">
                  <c:v>-447.42</c:v>
                </c:pt>
                <c:pt idx="821">
                  <c:v>-540.22</c:v>
                </c:pt>
                <c:pt idx="822">
                  <c:v>-346.37</c:v>
                </c:pt>
                <c:pt idx="823">
                  <c:v>-447.38</c:v>
                </c:pt>
                <c:pt idx="824">
                  <c:v>-225.65</c:v>
                </c:pt>
                <c:pt idx="825">
                  <c:v>-516.25</c:v>
                </c:pt>
                <c:pt idx="826">
                  <c:v>-225.34</c:v>
                </c:pt>
                <c:pt idx="827">
                  <c:v>-516.22</c:v>
                </c:pt>
                <c:pt idx="828">
                  <c:v>-345.29</c:v>
                </c:pt>
                <c:pt idx="829">
                  <c:v>-446.66</c:v>
                </c:pt>
                <c:pt idx="830">
                  <c:v>-345.23</c:v>
                </c:pt>
                <c:pt idx="831">
                  <c:v>-446.62</c:v>
                </c:pt>
                <c:pt idx="832">
                  <c:v>273.17</c:v>
                </c:pt>
                <c:pt idx="833">
                  <c:v>273.58999999999997</c:v>
                </c:pt>
                <c:pt idx="834">
                  <c:v>277.77999999999997</c:v>
                </c:pt>
                <c:pt idx="835">
                  <c:v>278.19</c:v>
                </c:pt>
                <c:pt idx="836">
                  <c:v>494.84</c:v>
                </c:pt>
                <c:pt idx="837">
                  <c:v>504.04</c:v>
                </c:pt>
                <c:pt idx="838">
                  <c:v>503.44</c:v>
                </c:pt>
                <c:pt idx="839">
                  <c:v>503.18</c:v>
                </c:pt>
                <c:pt idx="840">
                  <c:v>512.64</c:v>
                </c:pt>
                <c:pt idx="841">
                  <c:v>512.38</c:v>
                </c:pt>
                <c:pt idx="842">
                  <c:v>512.26</c:v>
                </c:pt>
                <c:pt idx="843">
                  <c:v>511.71</c:v>
                </c:pt>
                <c:pt idx="844">
                  <c:v>521.46</c:v>
                </c:pt>
                <c:pt idx="845">
                  <c:v>520.91</c:v>
                </c:pt>
                <c:pt idx="846">
                  <c:v>521.26</c:v>
                </c:pt>
                <c:pt idx="847">
                  <c:v>520.23</c:v>
                </c:pt>
                <c:pt idx="848">
                  <c:v>530.46</c:v>
                </c:pt>
                <c:pt idx="849">
                  <c:v>529.42999999999995</c:v>
                </c:pt>
                <c:pt idx="850">
                  <c:v>530.27</c:v>
                </c:pt>
                <c:pt idx="851">
                  <c:v>528.99</c:v>
                </c:pt>
                <c:pt idx="852">
                  <c:v>539.47</c:v>
                </c:pt>
                <c:pt idx="853">
                  <c:v>538.19000000000005</c:v>
                </c:pt>
                <c:pt idx="854">
                  <c:v>539.35</c:v>
                </c:pt>
                <c:pt idx="855">
                  <c:v>537.84</c:v>
                </c:pt>
                <c:pt idx="856">
                  <c:v>548.54999999999995</c:v>
                </c:pt>
                <c:pt idx="857">
                  <c:v>547.04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67-4491-882C-E2D63CFCF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490703"/>
        <c:axId val="635489455"/>
      </c:scatterChart>
      <c:valAx>
        <c:axId val="635490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id-ID"/>
                  <a:t>Mn (kNm)</a:t>
                </a:r>
              </a:p>
            </c:rich>
          </c:tx>
          <c:layout>
            <c:manualLayout>
              <c:xMode val="edge"/>
              <c:yMode val="edge"/>
              <c:x val="0.33880317798592197"/>
              <c:y val="0.95009771770072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id-ID"/>
          </a:p>
        </c:txPr>
        <c:crossAx val="635489455"/>
        <c:crosses val="autoZero"/>
        <c:crossBetween val="midCat"/>
        <c:minorUnit val="50"/>
      </c:valAx>
      <c:valAx>
        <c:axId val="63548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id-ID"/>
                  <a:t>Pn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id-ID"/>
          </a:p>
        </c:txPr>
        <c:crossAx val="635490703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02716169201335"/>
          <c:y val="8.7562384511661207E-2"/>
          <c:w val="0.21889787182579401"/>
          <c:h val="0.5648372766963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Momen pada P1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5369959599935237"/>
          <c:y val="0.12870370370370371"/>
          <c:w val="0.5750936408193837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Vs Perencanaan'!$R$16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Perencanaan'!$U$16:$V$16</c:f>
              <c:numCache>
                <c:formatCode>General</c:formatCode>
                <c:ptCount val="2"/>
                <c:pt idx="0">
                  <c:v>233.398</c:v>
                </c:pt>
                <c:pt idx="1">
                  <c:v>-74.797799999999995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1"/>
          <c:tx>
            <c:strRef>
              <c:f>'Perbandingan Vs Perencanaan'!$R$17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Perencanaan'!$U$17:$V$17</c:f>
              <c:numCache>
                <c:formatCode>General</c:formatCode>
                <c:ptCount val="2"/>
                <c:pt idx="0">
                  <c:v>242.9</c:v>
                </c:pt>
                <c:pt idx="1">
                  <c:v>-60.35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1270538698421227"/>
              <c:y val="0.729166666666666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Momen, My (kNm)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8541482619472"/>
          <c:y val="0.41914187809857101"/>
          <c:w val="0.20845199936017433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Gaya Aksial pada P2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646328484218764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Vs Perencanaan'!$R$18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Perencanaan'!$S$18:$T$18</c:f>
              <c:numCache>
                <c:formatCode>0.00</c:formatCode>
                <c:ptCount val="2"/>
                <c:pt idx="0" formatCode="0">
                  <c:v>0</c:v>
                </c:pt>
                <c:pt idx="1">
                  <c:v>-900.822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1"/>
          <c:tx>
            <c:strRef>
              <c:f>'Perbandingan Vs Perencanaan'!$R$19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Perencanaan'!$S$19:$T$19</c:f>
              <c:numCache>
                <c:formatCode>0.00</c:formatCode>
                <c:ptCount val="2"/>
                <c:pt idx="0" formatCode="0">
                  <c:v>424.27</c:v>
                </c:pt>
                <c:pt idx="1">
                  <c:v>-992.54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</a:t>
                </a:r>
                <a:r>
                  <a:rPr lang="id-ID" sz="900"/>
                  <a:t>2</a:t>
                </a:r>
              </a:p>
            </c:rich>
          </c:tx>
          <c:layout>
            <c:manualLayout>
              <c:xMode val="edge"/>
              <c:yMode val="edge"/>
              <c:x val="0.4162049701636471"/>
              <c:y val="0.40046296296296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Aksial, Fx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8541482619472"/>
          <c:y val="0.41914187809857101"/>
          <c:w val="0.20845199936017433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Momen pada P2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5358518821270359"/>
          <c:y val="0.12870370370370371"/>
          <c:w val="0.57520807121817585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Vs Perencanaan'!$R$18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Perencanaan'!$U$18:$V$18</c:f>
              <c:numCache>
                <c:formatCode>General</c:formatCode>
                <c:ptCount val="2"/>
                <c:pt idx="0">
                  <c:v>97.01</c:v>
                </c:pt>
                <c:pt idx="1">
                  <c:v>-153.14099999999999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1"/>
          <c:tx>
            <c:strRef>
              <c:f>'Perbandingan Vs Perencanaan'!$R$19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Perencanaan'!$U$19:$V$19</c:f>
              <c:numCache>
                <c:formatCode>General</c:formatCode>
                <c:ptCount val="2"/>
                <c:pt idx="0">
                  <c:v>48.68</c:v>
                </c:pt>
                <c:pt idx="1">
                  <c:v>-94.28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</a:t>
                </a:r>
                <a:r>
                  <a:rPr lang="id-ID" sz="900"/>
                  <a:t>2</a:t>
                </a:r>
              </a:p>
            </c:rich>
          </c:tx>
          <c:layout>
            <c:manualLayout>
              <c:xMode val="edge"/>
              <c:yMode val="edge"/>
              <c:x val="0.40915488738589012"/>
              <c:y val="0.47453703703703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Momen, My (kNm)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8541482619472"/>
          <c:y val="0.41914187809857101"/>
          <c:w val="0.20845199936017433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Tegangan pada </a:t>
            </a:r>
            <a:r>
              <a:rPr lang="id-ID" sz="1200" b="0" i="1" baseline="0">
                <a:effectLst/>
              </a:rPr>
              <a:t>Corrugated Steel</a:t>
            </a:r>
            <a:r>
              <a:rPr lang="id-ID" sz="1200" b="0" i="0" baseline="0">
                <a:effectLst/>
              </a:rPr>
              <a:t>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182186829639354"/>
          <c:y val="0.13796296296296295"/>
          <c:w val="0.56463284842187644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CSP'!$J$16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CSP'!$J$15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CSP'!$K$15:$K$16</c:f>
              <c:numCache>
                <c:formatCode>General</c:formatCode>
                <c:ptCount val="2"/>
                <c:pt idx="1">
                  <c:v>70.790000000000006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CSP'!$J$18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CSP'!$J$15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CSP'!$K$17:$K$18</c:f>
              <c:numCache>
                <c:formatCode>General</c:formatCode>
                <c:ptCount val="2"/>
                <c:pt idx="1">
                  <c:v>90.89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CSP'!$L$14</c:f>
              <c:strCache>
                <c:ptCount val="1"/>
                <c:pt idx="0">
                  <c:v>σ izin = Fb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CSP'!$L$14</c:f>
              <c:strCache>
                <c:ptCount val="1"/>
                <c:pt idx="0">
                  <c:v>σ izin = Fb</c:v>
                </c:pt>
              </c:strCache>
            </c:strRef>
          </c:cat>
          <c:val>
            <c:numRef>
              <c:f>'Perbandingan Komposit Vs CSP'!$L$15:$L$17</c:f>
              <c:numCache>
                <c:formatCode>0.00</c:formatCode>
                <c:ptCount val="3"/>
                <c:pt idx="0">
                  <c:v>169.58547686563779</c:v>
                </c:pt>
                <c:pt idx="1">
                  <c:v>169.58547686563779</c:v>
                </c:pt>
                <c:pt idx="2">
                  <c:v>169.58547686563779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38662715462518"/>
          <c:y val="0.40603674540682416"/>
          <c:w val="0.29916439744906176"/>
          <c:h val="0.35737095363079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Tegangan pada </a:t>
            </a:r>
            <a:r>
              <a:rPr lang="id-ID" sz="1200" b="0" i="1" baseline="0">
                <a:effectLst/>
              </a:rPr>
              <a:t>Corrugated Steel</a:t>
            </a:r>
            <a:r>
              <a:rPr lang="id-ID" sz="1200" b="0" i="0" baseline="0">
                <a:effectLst/>
              </a:rPr>
              <a:t>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182186829639354"/>
          <c:y val="0.13796296296296295"/>
          <c:w val="0.56463284842187644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CSP'!$N$16</c:f>
              <c:strCache>
                <c:ptCount val="1"/>
                <c:pt idx="0">
                  <c:v>Beton Bertulang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E1D-465E-9F9B-7656C1A22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CSP'!$N$15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CSP'!$O$15:$O$16</c:f>
              <c:numCache>
                <c:formatCode>General</c:formatCode>
                <c:ptCount val="2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CSP'!$N$18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CSP'!$N$15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CSP'!$O$17:$O$18</c:f>
              <c:numCache>
                <c:formatCode>General</c:formatCode>
                <c:ptCount val="2"/>
                <c:pt idx="1">
                  <c:v>99.33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CSP'!$P$14</c:f>
              <c:strCache>
                <c:ptCount val="1"/>
                <c:pt idx="0">
                  <c:v>σ izin = Fb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CSP'!$P$14</c:f>
              <c:strCache>
                <c:ptCount val="1"/>
                <c:pt idx="0">
                  <c:v>σ izin = Fb</c:v>
                </c:pt>
              </c:strCache>
            </c:strRef>
          </c:cat>
          <c:val>
            <c:numRef>
              <c:f>'Perbandingan Komposit Vs CSP'!$P$15:$P$17</c:f>
              <c:numCache>
                <c:formatCode>0.00</c:formatCode>
                <c:ptCount val="3"/>
                <c:pt idx="0">
                  <c:v>172.8228280349426</c:v>
                </c:pt>
                <c:pt idx="1">
                  <c:v>172.8228280349426</c:v>
                </c:pt>
                <c:pt idx="2">
                  <c:v>172.8228280349426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P2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083560255093824"/>
          <c:y val="0.40556466899970839"/>
          <c:w val="0.2957154220527487"/>
          <c:h val="0.349981773111694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Lendutan pada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1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182186829639354"/>
          <c:y val="0.13796296296296295"/>
          <c:w val="0.56463284842187644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CSP'!$J$38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CSP'!$J$37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CSP'!$K$37:$K$38</c:f>
              <c:numCache>
                <c:formatCode>General</c:formatCode>
                <c:ptCount val="2"/>
                <c:pt idx="1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CSP'!$J$40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CSP'!$J$37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CSP'!$K$39:$K$40</c:f>
              <c:numCache>
                <c:formatCode>General</c:formatCode>
                <c:ptCount val="2"/>
                <c:pt idx="1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CSP'!$L$36</c:f>
              <c:strCache>
                <c:ptCount val="1"/>
                <c:pt idx="0">
                  <c:v>δ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CSP'!$L$36</c:f>
              <c:strCache>
                <c:ptCount val="1"/>
                <c:pt idx="0">
                  <c:v>δ izin</c:v>
                </c:pt>
              </c:strCache>
            </c:strRef>
          </c:cat>
          <c:val>
            <c:numRef>
              <c:f>'Perbandingan Komposit Vs CSP'!$L$37:$L$39</c:f>
              <c:numCache>
                <c:formatCode>0.00</c:formatCode>
                <c:ptCount val="3"/>
                <c:pt idx="0">
                  <c:v>31.265625</c:v>
                </c:pt>
                <c:pt idx="1">
                  <c:v>31.265625</c:v>
                </c:pt>
                <c:pt idx="2">
                  <c:v>31.265625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Lendutan, </a:t>
                </a:r>
                <a:r>
                  <a:rPr lang="el-GR" sz="900" b="0" i="0" baseline="0">
                    <a:effectLst/>
                  </a:rPr>
                  <a:t>δ</a:t>
                </a:r>
                <a:r>
                  <a:rPr lang="id-ID" sz="900" b="0" i="0" baseline="0">
                    <a:effectLst/>
                  </a:rPr>
                  <a:t> (mm)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38662715462518"/>
          <c:y val="0.40603674540682416"/>
          <c:w val="0.29916439744906176"/>
          <c:h val="0.35737095363079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Lendutan pada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2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182186829639354"/>
          <c:y val="0.13796296296296295"/>
          <c:w val="0.56463284842187644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CSP'!$N$38</c:f>
              <c:strCache>
                <c:ptCount val="1"/>
                <c:pt idx="0">
                  <c:v>Beton Bertulang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CSP'!$N$37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CSP'!$O$37:$O$38</c:f>
              <c:numCache>
                <c:formatCode>General</c:formatCode>
                <c:ptCount val="2"/>
                <c:pt idx="1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CSP'!$N$40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CSP'!$N$37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CSP'!$O$39:$O$40</c:f>
              <c:numCache>
                <c:formatCode>General</c:formatCode>
                <c:ptCount val="2"/>
                <c:pt idx="1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CSP'!$P$36</c:f>
              <c:strCache>
                <c:ptCount val="1"/>
                <c:pt idx="0">
                  <c:v>δ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CSP'!$P$36</c:f>
              <c:strCache>
                <c:ptCount val="1"/>
                <c:pt idx="0">
                  <c:v>δ izin</c:v>
                </c:pt>
              </c:strCache>
            </c:strRef>
          </c:cat>
          <c:val>
            <c:numRef>
              <c:f>'Perbandingan Komposit Vs CSP'!$P$37:$P$39</c:f>
              <c:numCache>
                <c:formatCode>0.00</c:formatCode>
                <c:ptCount val="3"/>
                <c:pt idx="0">
                  <c:v>15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P2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Lendutan, </a:t>
                </a:r>
                <a:r>
                  <a:rPr lang="el-GR" sz="900" b="0" i="0" baseline="0">
                    <a:effectLst/>
                  </a:rPr>
                  <a:t>δ</a:t>
                </a:r>
                <a:r>
                  <a:rPr lang="id-ID" sz="900" b="0" i="0" baseline="0">
                    <a:effectLst/>
                  </a:rPr>
                  <a:t> (mm)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38662715462518"/>
          <c:y val="0.40603674540682416"/>
          <c:w val="0.29916439744906176"/>
          <c:h val="0.35737095363079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Tegangan pada Mortar Busa 800 kPa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871981908901966"/>
          <c:y val="0.13796296296296295"/>
          <c:w val="0.55773489762925033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CSP'!$K$61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CSP'!$K$60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CSP'!$L$60:$L$61</c:f>
              <c:numCache>
                <c:formatCode>General</c:formatCode>
                <c:ptCount val="2"/>
                <c:pt idx="1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CSP'!$K$63</c:f>
              <c:strCache>
                <c:ptCount val="1"/>
                <c:pt idx="0">
                  <c:v>Corrugated Steel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CSP'!$K$60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CSP'!$L$62:$L$63</c:f>
              <c:numCache>
                <c:formatCode>General</c:formatCode>
                <c:ptCount val="2"/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CSP'!$M$59</c:f>
              <c:strCache>
                <c:ptCount val="1"/>
                <c:pt idx="0">
                  <c:v>σ ult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CSP'!$M$59</c:f>
              <c:strCache>
                <c:ptCount val="1"/>
                <c:pt idx="0">
                  <c:v>σ ult</c:v>
                </c:pt>
              </c:strCache>
            </c:strRef>
          </c:cat>
          <c:val>
            <c:numRef>
              <c:f>'Perbandingan Komposit Vs CSP'!$M$60:$M$62</c:f>
              <c:numCache>
                <c:formatCode>0.00</c:formatCode>
                <c:ptCount val="3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Titik</a:t>
                </a:r>
                <a:r>
                  <a:rPr lang="id-ID" sz="900" baseline="0"/>
                  <a:t> tinjau </a:t>
                </a: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1963365906688107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38662715462518"/>
          <c:y val="0.40603674540682416"/>
          <c:w val="0.29916439744906176"/>
          <c:h val="0.35737095363079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Tegangan pada Mortar Busa 2000 kPa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871981908901966"/>
          <c:y val="0.13796296296296295"/>
          <c:w val="0.55773489762925033"/>
          <c:h val="0.781728638086905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Komposit Vs CSP'!$K$67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CSP'!$K$66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CSP'!$L$66:$L$67</c:f>
              <c:numCache>
                <c:formatCode>General</c:formatCode>
                <c:ptCount val="2"/>
                <c:pt idx="1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2-4A28-8AB3-AE7120777948}"/>
            </c:ext>
          </c:extLst>
        </c:ser>
        <c:ser>
          <c:idx val="2"/>
          <c:order val="2"/>
          <c:tx>
            <c:strRef>
              <c:f>'Perbandingan Komposit Vs CSP'!$K$69</c:f>
              <c:strCache>
                <c:ptCount val="1"/>
                <c:pt idx="0">
                  <c:v>Corrugated Steel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CSP'!$K$66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CSP'!$L$68:$L$69</c:f>
              <c:numCache>
                <c:formatCode>General</c:formatCode>
                <c:ptCount val="2"/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2-4A28-8AB3-AE712077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CSP'!$M$65</c:f>
              <c:strCache>
                <c:ptCount val="1"/>
                <c:pt idx="0">
                  <c:v>σ ult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A28-8AB3-AE71207779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A28-8AB3-AE7120777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CSP'!$M$65</c:f>
              <c:strCache>
                <c:ptCount val="1"/>
                <c:pt idx="0">
                  <c:v>σ ult</c:v>
                </c:pt>
              </c:strCache>
            </c:strRef>
          </c:cat>
          <c:val>
            <c:numRef>
              <c:f>'Perbandingan Komposit Vs CSP'!$M$66:$M$68</c:f>
              <c:numCache>
                <c:formatCode>0.00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2-4A28-8AB3-AE7120777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Titik</a:t>
                </a:r>
                <a:r>
                  <a:rPr lang="id-ID" sz="900" baseline="0"/>
                  <a:t> tinjau </a:t>
                </a: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1963365906688107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38662715462518"/>
          <c:y val="0.40603674540682416"/>
          <c:w val="0.29916439744906176"/>
          <c:h val="0.35737095363079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Gaya Aksial pada </a:t>
            </a:r>
            <a:r>
              <a:rPr lang="id-ID" sz="1200" b="0" i="1" baseline="0">
                <a:effectLst/>
              </a:rPr>
              <a:t>Corrugated Steel </a:t>
            </a:r>
            <a:r>
              <a:rPr lang="id-ID" sz="1200" b="0" i="0" baseline="0">
                <a:effectLst/>
              </a:rPr>
              <a:t>P1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992383499726290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Komposit Vs CSP'!$AG$16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CSP'!$AH$16:$AI$16</c:f>
              <c:numCache>
                <c:formatCode>General</c:formatCode>
                <c:ptCount val="2"/>
                <c:pt idx="0">
                  <c:v>376.7</c:v>
                </c:pt>
                <c:pt idx="1">
                  <c:v>-291.8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8-4607-908B-E663F99C6879}"/>
            </c:ext>
          </c:extLst>
        </c:ser>
        <c:ser>
          <c:idx val="2"/>
          <c:order val="1"/>
          <c:tx>
            <c:strRef>
              <c:f>'Perbandingan Komposit Vs CSP'!$AG$17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CSP'!$AH$17:$AI$17</c:f>
              <c:numCache>
                <c:formatCode>General</c:formatCode>
                <c:ptCount val="2"/>
                <c:pt idx="0">
                  <c:v>511.39</c:v>
                </c:pt>
                <c:pt idx="1">
                  <c:v>-528.6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8-4607-908B-E663F99C6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3695664791152522"/>
              <c:y val="0.530092592592592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Aksial, Fx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93290656735136"/>
          <c:y val="0.36358632254301548"/>
          <c:w val="0.23337603173033139"/>
          <c:h val="0.25801254009915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r>
              <a:rPr lang="id-ID"/>
              <a:t>Diagram Interaksi P2</a:t>
            </a:r>
          </a:p>
        </c:rich>
      </c:tx>
      <c:layout>
        <c:manualLayout>
          <c:xMode val="edge"/>
          <c:yMode val="edge"/>
          <c:x val="0.37391365256682441"/>
          <c:y val="6.45682001614204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3.5089106564999285E-2"/>
          <c:y val="8.8272437470496554E-2"/>
          <c:w val="0.72508892554116688"/>
          <c:h val="0.8533686342555975"/>
        </c:manualLayout>
      </c:layout>
      <c:scatterChart>
        <c:scatterStyle val="lineMarker"/>
        <c:varyColors val="0"/>
        <c:ser>
          <c:idx val="0"/>
          <c:order val="0"/>
          <c:tx>
            <c:v>Pn-Mn Positif</c:v>
          </c:tx>
          <c:spPr>
            <a:ln w="19050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P2'!$P$35:$P$77</c:f>
              <c:numCache>
                <c:formatCode>0.000</c:formatCode>
                <c:ptCount val="43"/>
                <c:pt idx="0">
                  <c:v>0</c:v>
                </c:pt>
                <c:pt idx="1">
                  <c:v>243.99199764072935</c:v>
                </c:pt>
                <c:pt idx="2">
                  <c:v>249.67347908837647</c:v>
                </c:pt>
                <c:pt idx="3">
                  <c:v>255.10502979928731</c:v>
                </c:pt>
                <c:pt idx="4">
                  <c:v>260.29085154717717</c:v>
                </c:pt>
                <c:pt idx="5">
                  <c:v>265.23550546798668</c:v>
                </c:pt>
                <c:pt idx="6">
                  <c:v>269.94395131794073</c:v>
                </c:pt>
                <c:pt idx="7">
                  <c:v>274.42159199299533</c:v>
                </c:pt>
                <c:pt idx="8">
                  <c:v>278.67432415112705</c:v>
                </c:pt>
                <c:pt idx="9">
                  <c:v>282.7085959363107</c:v>
                </c:pt>
                <c:pt idx="10">
                  <c:v>286.53147299433772</c:v>
                </c:pt>
                <c:pt idx="11">
                  <c:v>290.15071420417189</c:v>
                </c:pt>
                <c:pt idx="12">
                  <c:v>293.57485883492376</c:v>
                </c:pt>
                <c:pt idx="13">
                  <c:v>296.8133271914063</c:v>
                </c:pt>
                <c:pt idx="14">
                  <c:v>299.8765372481883</c:v>
                </c:pt>
                <c:pt idx="15">
                  <c:v>302.58037362288343</c:v>
                </c:pt>
                <c:pt idx="16">
                  <c:v>304.52904062939308</c:v>
                </c:pt>
                <c:pt idx="17">
                  <c:v>306.29514821195846</c:v>
                </c:pt>
                <c:pt idx="18">
                  <c:v>307.89062526050242</c:v>
                </c:pt>
                <c:pt idx="19">
                  <c:v>309.32885677357609</c:v>
                </c:pt>
                <c:pt idx="20">
                  <c:v>310.62491302799953</c:v>
                </c:pt>
                <c:pt idx="21">
                  <c:v>311.79582343657864</c:v>
                </c:pt>
                <c:pt idx="22">
                  <c:v>306.34690544616933</c:v>
                </c:pt>
                <c:pt idx="23">
                  <c:v>299.94811394746381</c:v>
                </c:pt>
                <c:pt idx="24">
                  <c:v>292.56416081469575</c:v>
                </c:pt>
                <c:pt idx="25">
                  <c:v>284.15093589065714</c:v>
                </c:pt>
                <c:pt idx="26">
                  <c:v>274.6525663095511</c:v>
                </c:pt>
                <c:pt idx="27">
                  <c:v>263.99721552963888</c:v>
                </c:pt>
                <c:pt idx="28">
                  <c:v>252.0909434578775</c:v>
                </c:pt>
                <c:pt idx="29">
                  <c:v>238.80849663687624</c:v>
                </c:pt>
                <c:pt idx="30">
                  <c:v>223.97907489746606</c:v>
                </c:pt>
                <c:pt idx="31">
                  <c:v>207.36355800281024</c:v>
                </c:pt>
                <c:pt idx="32">
                  <c:v>188.6165500552556</c:v>
                </c:pt>
                <c:pt idx="33">
                  <c:v>174.12164671077045</c:v>
                </c:pt>
                <c:pt idx="34">
                  <c:v>149.26132149141986</c:v>
                </c:pt>
                <c:pt idx="35">
                  <c:v>138.28360809326148</c:v>
                </c:pt>
                <c:pt idx="36">
                  <c:v>119.58035144458606</c:v>
                </c:pt>
                <c:pt idx="37">
                  <c:v>85.439096927188061</c:v>
                </c:pt>
                <c:pt idx="38">
                  <c:v>70.541261416568204</c:v>
                </c:pt>
                <c:pt idx="39">
                  <c:v>54.893518443661883</c:v>
                </c:pt>
                <c:pt idx="40">
                  <c:v>38.49586800846901</c:v>
                </c:pt>
                <c:pt idx="41">
                  <c:v>21.348310110989718</c:v>
                </c:pt>
                <c:pt idx="42">
                  <c:v>3.4508447512238636</c:v>
                </c:pt>
              </c:numCache>
            </c:numRef>
          </c:xVal>
          <c:yVal>
            <c:numRef>
              <c:f>'Kapasitas P2'!$O$35:$O$77</c:f>
              <c:numCache>
                <c:formatCode>0.000</c:formatCode>
                <c:ptCount val="43"/>
                <c:pt idx="0">
                  <c:v>5635.8935884176062</c:v>
                </c:pt>
                <c:pt idx="1">
                  <c:v>4574.1656927610038</c:v>
                </c:pt>
                <c:pt idx="2">
                  <c:v>4476.6542354033882</c:v>
                </c:pt>
                <c:pt idx="3">
                  <c:v>4378.3910346066723</c:v>
                </c:pt>
                <c:pt idx="4">
                  <c:v>4279.328879430238</c:v>
                </c:pt>
                <c:pt idx="5">
                  <c:v>4179.4165211556492</c:v>
                </c:pt>
                <c:pt idx="6">
                  <c:v>4078.5982321848742</c:v>
                </c:pt>
                <c:pt idx="7">
                  <c:v>3976.8133058217782</c:v>
                </c:pt>
                <c:pt idx="8">
                  <c:v>3873.9954874823529</c:v>
                </c:pt>
                <c:pt idx="9">
                  <c:v>3770.0723261107046</c:v>
                </c:pt>
                <c:pt idx="10">
                  <c:v>3664.9644324282754</c:v>
                </c:pt>
                <c:pt idx="11">
                  <c:v>3558.5846280197461</c:v>
                </c:pt>
                <c:pt idx="12">
                  <c:v>3450.8369660411704</c:v>
                </c:pt>
                <c:pt idx="13">
                  <c:v>3341.6156003710598</c:v>
                </c:pt>
                <c:pt idx="14">
                  <c:v>3230.8034751153823</c:v>
                </c:pt>
                <c:pt idx="15">
                  <c:v>3116.0722980964374</c:v>
                </c:pt>
                <c:pt idx="16">
                  <c:v>2992.6863184548656</c:v>
                </c:pt>
                <c:pt idx="17">
                  <c:v>2866.7575447430017</c:v>
                </c:pt>
                <c:pt idx="18">
                  <c:v>2738.0600795377454</c:v>
                </c:pt>
                <c:pt idx="19">
                  <c:v>2606.3404510826581</c:v>
                </c:pt>
                <c:pt idx="20">
                  <c:v>2471.3132735018517</c:v>
                </c:pt>
                <c:pt idx="21">
                  <c:v>2332.6560607555634</c:v>
                </c:pt>
                <c:pt idx="22">
                  <c:v>2190.6186479312969</c:v>
                </c:pt>
                <c:pt idx="23">
                  <c:v>2046.3344256013038</c:v>
                </c:pt>
                <c:pt idx="24">
                  <c:v>1899.4068979704557</c:v>
                </c:pt>
                <c:pt idx="25">
                  <c:v>1749.340445294843</c:v>
                </c:pt>
                <c:pt idx="26">
                  <c:v>1595.507282565512</c:v>
                </c:pt>
                <c:pt idx="27">
                  <c:v>1437.1002576280948</c:v>
                </c:pt>
                <c:pt idx="28">
                  <c:v>1273.0638638191872</c:v>
                </c:pt>
                <c:pt idx="29">
                  <c:v>1101.9907589209161</c:v>
                </c:pt>
                <c:pt idx="30">
                  <c:v>921.96183990890916</c:v>
                </c:pt>
                <c:pt idx="31">
                  <c:v>730.29036254904702</c:v>
                </c:pt>
                <c:pt idx="32">
                  <c:v>523.09547405870933</c:v>
                </c:pt>
                <c:pt idx="33">
                  <c:v>372.10296832518088</c:v>
                </c:pt>
                <c:pt idx="34">
                  <c:v>113.07097480986647</c:v>
                </c:pt>
                <c:pt idx="35">
                  <c:v>1.1743846926037804E-5</c:v>
                </c:pt>
                <c:pt idx="36">
                  <c:v>-191.69964078630983</c:v>
                </c:pt>
                <c:pt idx="37">
                  <c:v>-538.15988568897717</c:v>
                </c:pt>
                <c:pt idx="38">
                  <c:v>-659.97601296170455</c:v>
                </c:pt>
                <c:pt idx="39">
                  <c:v>-781.79214023443183</c:v>
                </c:pt>
                <c:pt idx="40">
                  <c:v>-903.60826750715933</c:v>
                </c:pt>
                <c:pt idx="41">
                  <c:v>-1025.4243947798864</c:v>
                </c:pt>
                <c:pt idx="42">
                  <c:v>-1147.2405220526136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67-4491-882C-E2D63CFCFA24}"/>
            </c:ext>
          </c:extLst>
        </c:ser>
        <c:ser>
          <c:idx val="5"/>
          <c:order val="1"/>
          <c:tx>
            <c:v>ϕPn-ϕMn Positif</c:v>
          </c:tx>
          <c:spPr>
            <a:ln w="31750" cap="rnd" cmpd="dbl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'Kapasitas P2'!$S$35:$S$77</c:f>
              <c:numCache>
                <c:formatCode>0.000</c:formatCode>
                <c:ptCount val="43"/>
                <c:pt idx="0" formatCode="General">
                  <c:v>0</c:v>
                </c:pt>
                <c:pt idx="1">
                  <c:v>158.59479846647409</c:v>
                </c:pt>
                <c:pt idx="2">
                  <c:v>162.28776140744472</c:v>
                </c:pt>
                <c:pt idx="3">
                  <c:v>165.81826936953675</c:v>
                </c:pt>
                <c:pt idx="4">
                  <c:v>169.18905350566516</c:v>
                </c:pt>
                <c:pt idx="5">
                  <c:v>172.40307855419135</c:v>
                </c:pt>
                <c:pt idx="6">
                  <c:v>175.46356835666148</c:v>
                </c:pt>
                <c:pt idx="7">
                  <c:v>178.37403479544696</c:v>
                </c:pt>
                <c:pt idx="8">
                  <c:v>181.1383106982326</c:v>
                </c:pt>
                <c:pt idx="9">
                  <c:v>183.76058735860195</c:v>
                </c:pt>
                <c:pt idx="10">
                  <c:v>186.24545744631953</c:v>
                </c:pt>
                <c:pt idx="11">
                  <c:v>188.59796423271175</c:v>
                </c:pt>
                <c:pt idx="12">
                  <c:v>190.82365824270045</c:v>
                </c:pt>
                <c:pt idx="13">
                  <c:v>192.92866267441411</c:v>
                </c:pt>
                <c:pt idx="14">
                  <c:v>194.9197492113224</c:v>
                </c:pt>
                <c:pt idx="15">
                  <c:v>196.67724285487424</c:v>
                </c:pt>
                <c:pt idx="16">
                  <c:v>197.94387640910551</c:v>
                </c:pt>
                <c:pt idx="17">
                  <c:v>199.09184633777301</c:v>
                </c:pt>
                <c:pt idx="18">
                  <c:v>200.12890641932657</c:v>
                </c:pt>
                <c:pt idx="19">
                  <c:v>201.06375690282448</c:v>
                </c:pt>
                <c:pt idx="20">
                  <c:v>201.90619346819969</c:v>
                </c:pt>
                <c:pt idx="21">
                  <c:v>202.66728523377611</c:v>
                </c:pt>
                <c:pt idx="22">
                  <c:v>204.49999565310077</c:v>
                </c:pt>
                <c:pt idx="23">
                  <c:v>207.4641121469958</c:v>
                </c:pt>
                <c:pt idx="24">
                  <c:v>210.24463713448233</c:v>
                </c:pt>
                <c:pt idx="25">
                  <c:v>212.81721135977344</c:v>
                </c:pt>
                <c:pt idx="26">
                  <c:v>215.14451027581507</c:v>
                </c:pt>
                <c:pt idx="27">
                  <c:v>217.169138013072</c:v>
                </c:pt>
                <c:pt idx="28">
                  <c:v>218.80201118074754</c:v>
                </c:pt>
                <c:pt idx="29">
                  <c:v>214.92764697318862</c:v>
                </c:pt>
                <c:pt idx="30">
                  <c:v>201.58116740771945</c:v>
                </c:pt>
                <c:pt idx="31">
                  <c:v>186.62720220252922</c:v>
                </c:pt>
                <c:pt idx="32">
                  <c:v>169.75489504973004</c:v>
                </c:pt>
                <c:pt idx="33">
                  <c:v>156.7094820396934</c:v>
                </c:pt>
                <c:pt idx="34">
                  <c:v>134.33518934227789</c:v>
                </c:pt>
                <c:pt idx="35">
                  <c:v>124.45524728393534</c:v>
                </c:pt>
                <c:pt idx="36">
                  <c:v>107.62231630012745</c:v>
                </c:pt>
                <c:pt idx="37">
                  <c:v>76.895187234469262</c:v>
                </c:pt>
                <c:pt idx="38">
                  <c:v>63.487135274911388</c:v>
                </c:pt>
                <c:pt idx="39">
                  <c:v>49.404166599295692</c:v>
                </c:pt>
                <c:pt idx="40">
                  <c:v>34.64628120762211</c:v>
                </c:pt>
                <c:pt idx="41">
                  <c:v>19.213479099890748</c:v>
                </c:pt>
                <c:pt idx="42">
                  <c:v>3.1057602761014773</c:v>
                </c:pt>
              </c:numCache>
            </c:numRef>
          </c:xVal>
          <c:yVal>
            <c:numRef>
              <c:f>'Kapasitas P2'!$R$35:$R$77</c:f>
              <c:numCache>
                <c:formatCode>0.000</c:formatCode>
                <c:ptCount val="43"/>
                <c:pt idx="0">
                  <c:v>3663.330832471444</c:v>
                </c:pt>
                <c:pt idx="1">
                  <c:v>2973.2077002946526</c:v>
                </c:pt>
                <c:pt idx="2">
                  <c:v>2909.8252530122022</c:v>
                </c:pt>
                <c:pt idx="3">
                  <c:v>2845.9541724943369</c:v>
                </c:pt>
                <c:pt idx="4">
                  <c:v>2781.5637716296546</c:v>
                </c:pt>
                <c:pt idx="5">
                  <c:v>2716.6207387511722</c:v>
                </c:pt>
                <c:pt idx="6">
                  <c:v>2651.0888509201682</c:v>
                </c:pt>
                <c:pt idx="7">
                  <c:v>2584.9286487841559</c:v>
                </c:pt>
                <c:pt idx="8">
                  <c:v>2518.0970668635296</c:v>
                </c:pt>
                <c:pt idx="9">
                  <c:v>2450.547011971958</c:v>
                </c:pt>
                <c:pt idx="10">
                  <c:v>2382.2268810783789</c:v>
                </c:pt>
                <c:pt idx="11">
                  <c:v>2313.0800082128349</c:v>
                </c:pt>
                <c:pt idx="12">
                  <c:v>2243.0440279267609</c:v>
                </c:pt>
                <c:pt idx="13">
                  <c:v>2172.0501402411892</c:v>
                </c:pt>
                <c:pt idx="14">
                  <c:v>2100.0222588249985</c:v>
                </c:pt>
                <c:pt idx="15">
                  <c:v>2025.4469937626843</c:v>
                </c:pt>
                <c:pt idx="16">
                  <c:v>1945.2461069956628</c:v>
                </c:pt>
                <c:pt idx="17">
                  <c:v>1863.3924040829511</c:v>
                </c:pt>
                <c:pt idx="18">
                  <c:v>1779.7390516995347</c:v>
                </c:pt>
                <c:pt idx="19">
                  <c:v>1694.1212932037279</c:v>
                </c:pt>
                <c:pt idx="20">
                  <c:v>1606.3536277762037</c:v>
                </c:pt>
                <c:pt idx="21">
                  <c:v>1516.2264394911163</c:v>
                </c:pt>
                <c:pt idx="22">
                  <c:v>1462.334027259401</c:v>
                </c:pt>
                <c:pt idx="23">
                  <c:v>1415.3813110409017</c:v>
                </c:pt>
                <c:pt idx="24">
                  <c:v>1364.9659374630824</c:v>
                </c:pt>
                <c:pt idx="25">
                  <c:v>1310.1831043406169</c:v>
                </c:pt>
                <c:pt idx="26">
                  <c:v>1249.8140380096513</c:v>
                </c:pt>
                <c:pt idx="27">
                  <c:v>1182.1860452631115</c:v>
                </c:pt>
                <c:pt idx="28">
                  <c:v>1104.9541484687047</c:v>
                </c:pt>
                <c:pt idx="29">
                  <c:v>991.79168302882442</c:v>
                </c:pt>
                <c:pt idx="30">
                  <c:v>829.7656559180183</c:v>
                </c:pt>
                <c:pt idx="31">
                  <c:v>657.26132629414235</c:v>
                </c:pt>
                <c:pt idx="32">
                  <c:v>470.78592665283838</c:v>
                </c:pt>
                <c:pt idx="33">
                  <c:v>334.89267149266283</c:v>
                </c:pt>
                <c:pt idx="34">
                  <c:v>101.76387732887983</c:v>
                </c:pt>
                <c:pt idx="35">
                  <c:v>1.0569462233434024E-5</c:v>
                </c:pt>
                <c:pt idx="36">
                  <c:v>-172.52967670767885</c:v>
                </c:pt>
                <c:pt idx="37">
                  <c:v>-484.34389712007948</c:v>
                </c:pt>
                <c:pt idx="38">
                  <c:v>-593.97841166553417</c:v>
                </c:pt>
                <c:pt idx="39">
                  <c:v>-703.61292621098869</c:v>
                </c:pt>
                <c:pt idx="40">
                  <c:v>-813.24744075644344</c:v>
                </c:pt>
                <c:pt idx="41">
                  <c:v>-922.88195530189773</c:v>
                </c:pt>
                <c:pt idx="42">
                  <c:v>-1032.5164698473523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99-4C18-A3C8-E46E2ABAF02D}"/>
            </c:ext>
          </c:extLst>
        </c:ser>
        <c:ser>
          <c:idx val="1"/>
          <c:order val="2"/>
          <c:tx>
            <c:v>Pn-Mn Negatif</c:v>
          </c:tx>
          <c:spPr>
            <a:ln w="19050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'Kapasitas P2'!$P$82:$P$124</c:f>
              <c:numCache>
                <c:formatCode>0.000</c:formatCode>
                <c:ptCount val="43"/>
                <c:pt idx="0" formatCode="General">
                  <c:v>0</c:v>
                </c:pt>
                <c:pt idx="1">
                  <c:v>-243.99199764072935</c:v>
                </c:pt>
                <c:pt idx="2">
                  <c:v>-249.67347908837644</c:v>
                </c:pt>
                <c:pt idx="3">
                  <c:v>-255.10502979928734</c:v>
                </c:pt>
                <c:pt idx="4">
                  <c:v>-260.29085154717717</c:v>
                </c:pt>
                <c:pt idx="5">
                  <c:v>-265.23550546798668</c:v>
                </c:pt>
                <c:pt idx="6">
                  <c:v>-269.94395131794073</c:v>
                </c:pt>
                <c:pt idx="7">
                  <c:v>-274.42159199299527</c:v>
                </c:pt>
                <c:pt idx="8">
                  <c:v>-278.67432415112705</c:v>
                </c:pt>
                <c:pt idx="9">
                  <c:v>-282.7085959363107</c:v>
                </c:pt>
                <c:pt idx="10">
                  <c:v>-286.53147299433772</c:v>
                </c:pt>
                <c:pt idx="11">
                  <c:v>-290.15071420417183</c:v>
                </c:pt>
                <c:pt idx="12">
                  <c:v>-293.57485883492376</c:v>
                </c:pt>
                <c:pt idx="13">
                  <c:v>-296.8133271914063</c:v>
                </c:pt>
                <c:pt idx="14">
                  <c:v>-299.8765372481883</c:v>
                </c:pt>
                <c:pt idx="15">
                  <c:v>-302.58037362288349</c:v>
                </c:pt>
                <c:pt idx="16">
                  <c:v>-304.52904062939308</c:v>
                </c:pt>
                <c:pt idx="17">
                  <c:v>-306.29514821195846</c:v>
                </c:pt>
                <c:pt idx="18">
                  <c:v>-307.89062526050236</c:v>
                </c:pt>
                <c:pt idx="19">
                  <c:v>-309.32885677357609</c:v>
                </c:pt>
                <c:pt idx="20">
                  <c:v>-310.62491302799947</c:v>
                </c:pt>
                <c:pt idx="21">
                  <c:v>-311.79582343657859</c:v>
                </c:pt>
                <c:pt idx="22">
                  <c:v>-306.34690544616933</c:v>
                </c:pt>
                <c:pt idx="23">
                  <c:v>-299.94811394746387</c:v>
                </c:pt>
                <c:pt idx="24">
                  <c:v>-292.56416081469581</c:v>
                </c:pt>
                <c:pt idx="25">
                  <c:v>-284.15093589065714</c:v>
                </c:pt>
                <c:pt idx="26">
                  <c:v>-274.65256630955105</c:v>
                </c:pt>
                <c:pt idx="27">
                  <c:v>-263.99721552963888</c:v>
                </c:pt>
                <c:pt idx="28">
                  <c:v>-252.09094345787753</c:v>
                </c:pt>
                <c:pt idx="29">
                  <c:v>-238.80849663687624</c:v>
                </c:pt>
                <c:pt idx="30">
                  <c:v>-223.97907489746606</c:v>
                </c:pt>
                <c:pt idx="31">
                  <c:v>-207.36355800281024</c:v>
                </c:pt>
                <c:pt idx="32">
                  <c:v>-188.6165500552556</c:v>
                </c:pt>
                <c:pt idx="33">
                  <c:v>-174.12164671077048</c:v>
                </c:pt>
                <c:pt idx="34">
                  <c:v>-149.26132149141986</c:v>
                </c:pt>
                <c:pt idx="35">
                  <c:v>-138.28360649737388</c:v>
                </c:pt>
                <c:pt idx="36">
                  <c:v>-119.58035144458606</c:v>
                </c:pt>
                <c:pt idx="37">
                  <c:v>-85.439096927188061</c:v>
                </c:pt>
                <c:pt idx="38">
                  <c:v>-70.541261416568204</c:v>
                </c:pt>
                <c:pt idx="39">
                  <c:v>-54.893518443661875</c:v>
                </c:pt>
                <c:pt idx="40">
                  <c:v>-38.49586800846901</c:v>
                </c:pt>
                <c:pt idx="41">
                  <c:v>-21.348310110989711</c:v>
                </c:pt>
                <c:pt idx="42">
                  <c:v>-3.4508447512238636</c:v>
                </c:pt>
              </c:numCache>
            </c:numRef>
          </c:xVal>
          <c:yVal>
            <c:numRef>
              <c:f>'Kapasitas P2'!$O$82:$O$124</c:f>
              <c:numCache>
                <c:formatCode>0.000</c:formatCode>
                <c:ptCount val="43"/>
                <c:pt idx="0">
                  <c:v>5635.8935884176062</c:v>
                </c:pt>
                <c:pt idx="1">
                  <c:v>4574.1656927610038</c:v>
                </c:pt>
                <c:pt idx="2">
                  <c:v>4476.6542354033872</c:v>
                </c:pt>
                <c:pt idx="3">
                  <c:v>4378.3910346066723</c:v>
                </c:pt>
                <c:pt idx="4">
                  <c:v>4279.328879430238</c:v>
                </c:pt>
                <c:pt idx="5">
                  <c:v>4179.4165211556492</c:v>
                </c:pt>
                <c:pt idx="6">
                  <c:v>4078.5982321848742</c:v>
                </c:pt>
                <c:pt idx="7">
                  <c:v>3976.8133058217782</c:v>
                </c:pt>
                <c:pt idx="8">
                  <c:v>3873.9954874823529</c:v>
                </c:pt>
                <c:pt idx="9">
                  <c:v>3770.0723261107046</c:v>
                </c:pt>
                <c:pt idx="10">
                  <c:v>3664.9644324282754</c:v>
                </c:pt>
                <c:pt idx="11">
                  <c:v>3558.5846280197461</c:v>
                </c:pt>
                <c:pt idx="12">
                  <c:v>3450.8369660411704</c:v>
                </c:pt>
                <c:pt idx="13">
                  <c:v>3341.6156003710598</c:v>
                </c:pt>
                <c:pt idx="14">
                  <c:v>3230.8034751153823</c:v>
                </c:pt>
                <c:pt idx="15">
                  <c:v>3116.0722980964374</c:v>
                </c:pt>
                <c:pt idx="16">
                  <c:v>2992.6863184548656</c:v>
                </c:pt>
                <c:pt idx="17">
                  <c:v>2866.7575447430017</c:v>
                </c:pt>
                <c:pt idx="18">
                  <c:v>2738.0600795377454</c:v>
                </c:pt>
                <c:pt idx="19">
                  <c:v>2606.3404510826585</c:v>
                </c:pt>
                <c:pt idx="20">
                  <c:v>2471.3132735018517</c:v>
                </c:pt>
                <c:pt idx="21">
                  <c:v>2332.6560607555634</c:v>
                </c:pt>
                <c:pt idx="22">
                  <c:v>2190.6186479312964</c:v>
                </c:pt>
                <c:pt idx="23">
                  <c:v>2046.3344256013038</c:v>
                </c:pt>
                <c:pt idx="24">
                  <c:v>1899.4068979704559</c:v>
                </c:pt>
                <c:pt idx="25">
                  <c:v>1749.3404452948428</c:v>
                </c:pt>
                <c:pt idx="26">
                  <c:v>1595.507282565512</c:v>
                </c:pt>
                <c:pt idx="27">
                  <c:v>1437.1002576280948</c:v>
                </c:pt>
                <c:pt idx="28">
                  <c:v>1273.0638638191874</c:v>
                </c:pt>
                <c:pt idx="29">
                  <c:v>1101.9907589209161</c:v>
                </c:pt>
                <c:pt idx="30">
                  <c:v>921.96183990890904</c:v>
                </c:pt>
                <c:pt idx="31">
                  <c:v>730.2903625490469</c:v>
                </c:pt>
                <c:pt idx="32">
                  <c:v>523.09547405870944</c:v>
                </c:pt>
                <c:pt idx="33">
                  <c:v>372.10296832518094</c:v>
                </c:pt>
                <c:pt idx="34">
                  <c:v>113.0709748098665</c:v>
                </c:pt>
                <c:pt idx="35">
                  <c:v>-4.6556514519124903E-6</c:v>
                </c:pt>
                <c:pt idx="36">
                  <c:v>-191.69964078630983</c:v>
                </c:pt>
                <c:pt idx="37">
                  <c:v>-538.15988568897717</c:v>
                </c:pt>
                <c:pt idx="38">
                  <c:v>-659.97601296170455</c:v>
                </c:pt>
                <c:pt idx="39">
                  <c:v>-781.79214023443183</c:v>
                </c:pt>
                <c:pt idx="40">
                  <c:v>-903.60826750715933</c:v>
                </c:pt>
                <c:pt idx="41">
                  <c:v>-1025.4243947798864</c:v>
                </c:pt>
                <c:pt idx="42">
                  <c:v>-1147.2405220526136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67-4491-882C-E2D63CFCFA24}"/>
            </c:ext>
          </c:extLst>
        </c:ser>
        <c:ser>
          <c:idx val="6"/>
          <c:order val="3"/>
          <c:tx>
            <c:v>ϕPn-ϕMn Negatif</c:v>
          </c:tx>
          <c:spPr>
            <a:ln w="31750" cap="rnd" cmpd="dbl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'Kapasitas P2'!$S$82:$S$124</c:f>
              <c:numCache>
                <c:formatCode>0.000</c:formatCode>
                <c:ptCount val="43"/>
                <c:pt idx="0" formatCode="General">
                  <c:v>0</c:v>
                </c:pt>
                <c:pt idx="1">
                  <c:v>-158.59479846647409</c:v>
                </c:pt>
                <c:pt idx="2">
                  <c:v>-162.28776140744469</c:v>
                </c:pt>
                <c:pt idx="3">
                  <c:v>-165.81826936953678</c:v>
                </c:pt>
                <c:pt idx="4">
                  <c:v>-169.18905350566516</c:v>
                </c:pt>
                <c:pt idx="5">
                  <c:v>-172.40307855419135</c:v>
                </c:pt>
                <c:pt idx="6">
                  <c:v>-175.46356835666148</c:v>
                </c:pt>
                <c:pt idx="7">
                  <c:v>-178.37403479544693</c:v>
                </c:pt>
                <c:pt idx="8">
                  <c:v>-181.1383106982326</c:v>
                </c:pt>
                <c:pt idx="9">
                  <c:v>-183.76058735860195</c:v>
                </c:pt>
                <c:pt idx="10">
                  <c:v>-186.24545744631953</c:v>
                </c:pt>
                <c:pt idx="11">
                  <c:v>-188.59796423271169</c:v>
                </c:pt>
                <c:pt idx="12">
                  <c:v>-190.82365824270045</c:v>
                </c:pt>
                <c:pt idx="13">
                  <c:v>-192.92866267441411</c:v>
                </c:pt>
                <c:pt idx="14">
                  <c:v>-194.9197492113224</c:v>
                </c:pt>
                <c:pt idx="15">
                  <c:v>-196.67724285487427</c:v>
                </c:pt>
                <c:pt idx="16">
                  <c:v>-197.94387640910551</c:v>
                </c:pt>
                <c:pt idx="17">
                  <c:v>-199.09184633777301</c:v>
                </c:pt>
                <c:pt idx="18">
                  <c:v>-200.12890641932654</c:v>
                </c:pt>
                <c:pt idx="19">
                  <c:v>-201.06375690282448</c:v>
                </c:pt>
                <c:pt idx="20">
                  <c:v>-201.90619346819966</c:v>
                </c:pt>
                <c:pt idx="21">
                  <c:v>-202.66728523377608</c:v>
                </c:pt>
                <c:pt idx="22">
                  <c:v>-204.49999565310077</c:v>
                </c:pt>
                <c:pt idx="23">
                  <c:v>-207.46411214699583</c:v>
                </c:pt>
                <c:pt idx="24">
                  <c:v>-210.24463713448239</c:v>
                </c:pt>
                <c:pt idx="25">
                  <c:v>-212.81721135977344</c:v>
                </c:pt>
                <c:pt idx="26">
                  <c:v>-215.14451027581501</c:v>
                </c:pt>
                <c:pt idx="27">
                  <c:v>-217.169138013072</c:v>
                </c:pt>
                <c:pt idx="28">
                  <c:v>-218.80201118074754</c:v>
                </c:pt>
                <c:pt idx="29">
                  <c:v>-214.92764697318862</c:v>
                </c:pt>
                <c:pt idx="30">
                  <c:v>-201.58116740771945</c:v>
                </c:pt>
                <c:pt idx="31">
                  <c:v>-186.62720220252922</c:v>
                </c:pt>
                <c:pt idx="32">
                  <c:v>-169.75489504973004</c:v>
                </c:pt>
                <c:pt idx="33">
                  <c:v>-156.70948203969343</c:v>
                </c:pt>
                <c:pt idx="34">
                  <c:v>-134.33518934227789</c:v>
                </c:pt>
                <c:pt idx="35">
                  <c:v>-124.45524584763649</c:v>
                </c:pt>
                <c:pt idx="36">
                  <c:v>-107.62231630012745</c:v>
                </c:pt>
                <c:pt idx="37">
                  <c:v>-76.895187234469262</c:v>
                </c:pt>
                <c:pt idx="38">
                  <c:v>-63.487135274911388</c:v>
                </c:pt>
                <c:pt idx="39">
                  <c:v>-49.404166599295692</c:v>
                </c:pt>
                <c:pt idx="40">
                  <c:v>-34.64628120762211</c:v>
                </c:pt>
                <c:pt idx="41">
                  <c:v>-19.213479099890741</c:v>
                </c:pt>
                <c:pt idx="42">
                  <c:v>-3.1057602761014773</c:v>
                </c:pt>
              </c:numCache>
            </c:numRef>
          </c:xVal>
          <c:yVal>
            <c:numRef>
              <c:f>'Kapasitas P2'!$R$82:$R$124</c:f>
              <c:numCache>
                <c:formatCode>0.000</c:formatCode>
                <c:ptCount val="43"/>
                <c:pt idx="0">
                  <c:v>3663.330832471444</c:v>
                </c:pt>
                <c:pt idx="1">
                  <c:v>2973.2077002946526</c:v>
                </c:pt>
                <c:pt idx="2">
                  <c:v>2909.8252530122018</c:v>
                </c:pt>
                <c:pt idx="3">
                  <c:v>2845.9541724943369</c:v>
                </c:pt>
                <c:pt idx="4">
                  <c:v>2781.5637716296546</c:v>
                </c:pt>
                <c:pt idx="5">
                  <c:v>2716.6207387511722</c:v>
                </c:pt>
                <c:pt idx="6">
                  <c:v>2651.0888509201682</c:v>
                </c:pt>
                <c:pt idx="7">
                  <c:v>2584.9286487841559</c:v>
                </c:pt>
                <c:pt idx="8">
                  <c:v>2518.0970668635296</c:v>
                </c:pt>
                <c:pt idx="9">
                  <c:v>2450.547011971958</c:v>
                </c:pt>
                <c:pt idx="10">
                  <c:v>2382.2268810783789</c:v>
                </c:pt>
                <c:pt idx="11">
                  <c:v>2313.0800082128349</c:v>
                </c:pt>
                <c:pt idx="12">
                  <c:v>2243.0440279267609</c:v>
                </c:pt>
                <c:pt idx="13">
                  <c:v>2172.0501402411892</c:v>
                </c:pt>
                <c:pt idx="14">
                  <c:v>2100.0222588249985</c:v>
                </c:pt>
                <c:pt idx="15">
                  <c:v>2025.4469937626843</c:v>
                </c:pt>
                <c:pt idx="16">
                  <c:v>1945.2461069956628</c:v>
                </c:pt>
                <c:pt idx="17">
                  <c:v>1863.3924040829511</c:v>
                </c:pt>
                <c:pt idx="18">
                  <c:v>1779.7390516995347</c:v>
                </c:pt>
                <c:pt idx="19">
                  <c:v>1694.1212932037281</c:v>
                </c:pt>
                <c:pt idx="20">
                  <c:v>1606.3536277762037</c:v>
                </c:pt>
                <c:pt idx="21">
                  <c:v>1516.2264394911163</c:v>
                </c:pt>
                <c:pt idx="22">
                  <c:v>1462.3340272594007</c:v>
                </c:pt>
                <c:pt idx="23">
                  <c:v>1415.3813110409017</c:v>
                </c:pt>
                <c:pt idx="24">
                  <c:v>1364.9659374630826</c:v>
                </c:pt>
                <c:pt idx="25">
                  <c:v>1310.1831043406166</c:v>
                </c:pt>
                <c:pt idx="26">
                  <c:v>1249.8140380096513</c:v>
                </c:pt>
                <c:pt idx="27">
                  <c:v>1182.1860452631115</c:v>
                </c:pt>
                <c:pt idx="28">
                  <c:v>1104.9541484687049</c:v>
                </c:pt>
                <c:pt idx="29">
                  <c:v>991.79168302882442</c:v>
                </c:pt>
                <c:pt idx="30">
                  <c:v>829.76565591801818</c:v>
                </c:pt>
                <c:pt idx="31">
                  <c:v>657.26132629414224</c:v>
                </c:pt>
                <c:pt idx="32">
                  <c:v>470.7859266528385</c:v>
                </c:pt>
                <c:pt idx="33">
                  <c:v>334.89267149266283</c:v>
                </c:pt>
                <c:pt idx="34">
                  <c:v>101.76387732887986</c:v>
                </c:pt>
                <c:pt idx="35">
                  <c:v>-4.1900863067212418E-6</c:v>
                </c:pt>
                <c:pt idx="36">
                  <c:v>-172.52967670767885</c:v>
                </c:pt>
                <c:pt idx="37">
                  <c:v>-484.34389712007948</c:v>
                </c:pt>
                <c:pt idx="38">
                  <c:v>-593.97841166553417</c:v>
                </c:pt>
                <c:pt idx="39">
                  <c:v>-703.61292621098869</c:v>
                </c:pt>
                <c:pt idx="40">
                  <c:v>-813.24744075644344</c:v>
                </c:pt>
                <c:pt idx="41">
                  <c:v>-922.88195530189773</c:v>
                </c:pt>
                <c:pt idx="42">
                  <c:v>-1032.5164698473523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99-4C18-A3C8-E46E2ABAF02D}"/>
            </c:ext>
          </c:extLst>
        </c:ser>
        <c:ser>
          <c:idx val="2"/>
          <c:order val="4"/>
          <c:tx>
            <c:v>Gaya P2 Kuat I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xVal>
            <c:numRef>
              <c:f>'Hasil P2 Kuat I'!$K$2:$K$937</c:f>
              <c:numCache>
                <c:formatCode>General</c:formatCode>
                <c:ptCount val="936"/>
                <c:pt idx="0">
                  <c:v>-94.28</c:v>
                </c:pt>
                <c:pt idx="1">
                  <c:v>-94.27</c:v>
                </c:pt>
                <c:pt idx="2">
                  <c:v>-94.11</c:v>
                </c:pt>
                <c:pt idx="3">
                  <c:v>-94.1</c:v>
                </c:pt>
                <c:pt idx="4">
                  <c:v>-93.95</c:v>
                </c:pt>
                <c:pt idx="5">
                  <c:v>-93.94</c:v>
                </c:pt>
                <c:pt idx="6">
                  <c:v>-93.78</c:v>
                </c:pt>
                <c:pt idx="7">
                  <c:v>-93.77</c:v>
                </c:pt>
                <c:pt idx="8">
                  <c:v>12.33</c:v>
                </c:pt>
                <c:pt idx="9">
                  <c:v>12.32</c:v>
                </c:pt>
                <c:pt idx="10">
                  <c:v>-93.61</c:v>
                </c:pt>
                <c:pt idx="11">
                  <c:v>-93.61</c:v>
                </c:pt>
                <c:pt idx="12">
                  <c:v>11.86</c:v>
                </c:pt>
                <c:pt idx="13">
                  <c:v>11.85</c:v>
                </c:pt>
                <c:pt idx="14">
                  <c:v>-93.45</c:v>
                </c:pt>
                <c:pt idx="15">
                  <c:v>11.69</c:v>
                </c:pt>
                <c:pt idx="16">
                  <c:v>11.68</c:v>
                </c:pt>
                <c:pt idx="17">
                  <c:v>11.52</c:v>
                </c:pt>
                <c:pt idx="18">
                  <c:v>11.51</c:v>
                </c:pt>
                <c:pt idx="19">
                  <c:v>11.35</c:v>
                </c:pt>
                <c:pt idx="20">
                  <c:v>11.35</c:v>
                </c:pt>
                <c:pt idx="21">
                  <c:v>11.18</c:v>
                </c:pt>
                <c:pt idx="22">
                  <c:v>-47.2</c:v>
                </c:pt>
                <c:pt idx="23">
                  <c:v>-47.2</c:v>
                </c:pt>
                <c:pt idx="24">
                  <c:v>6.35</c:v>
                </c:pt>
                <c:pt idx="25">
                  <c:v>6.34</c:v>
                </c:pt>
                <c:pt idx="26">
                  <c:v>21.66</c:v>
                </c:pt>
                <c:pt idx="27">
                  <c:v>21.29</c:v>
                </c:pt>
                <c:pt idx="28">
                  <c:v>21.51</c:v>
                </c:pt>
                <c:pt idx="29">
                  <c:v>21.21</c:v>
                </c:pt>
                <c:pt idx="30">
                  <c:v>48.68</c:v>
                </c:pt>
                <c:pt idx="31">
                  <c:v>48.62</c:v>
                </c:pt>
                <c:pt idx="32">
                  <c:v>21.37</c:v>
                </c:pt>
                <c:pt idx="33">
                  <c:v>21.13</c:v>
                </c:pt>
                <c:pt idx="34">
                  <c:v>48.27</c:v>
                </c:pt>
                <c:pt idx="35">
                  <c:v>48.21</c:v>
                </c:pt>
                <c:pt idx="36">
                  <c:v>21.23</c:v>
                </c:pt>
                <c:pt idx="37">
                  <c:v>21.05</c:v>
                </c:pt>
                <c:pt idx="38">
                  <c:v>47.85</c:v>
                </c:pt>
                <c:pt idx="39">
                  <c:v>47.81</c:v>
                </c:pt>
                <c:pt idx="40">
                  <c:v>21.09</c:v>
                </c:pt>
                <c:pt idx="41">
                  <c:v>21</c:v>
                </c:pt>
                <c:pt idx="42">
                  <c:v>47.44</c:v>
                </c:pt>
                <c:pt idx="43">
                  <c:v>47.41</c:v>
                </c:pt>
                <c:pt idx="44">
                  <c:v>20.96</c:v>
                </c:pt>
                <c:pt idx="45">
                  <c:v>47.02</c:v>
                </c:pt>
                <c:pt idx="46">
                  <c:v>47.01</c:v>
                </c:pt>
                <c:pt idx="47">
                  <c:v>46.62</c:v>
                </c:pt>
                <c:pt idx="48">
                  <c:v>-9.84</c:v>
                </c:pt>
                <c:pt idx="49">
                  <c:v>-9.6</c:v>
                </c:pt>
                <c:pt idx="50">
                  <c:v>-15.32</c:v>
                </c:pt>
                <c:pt idx="51">
                  <c:v>-8.3000000000000007</c:v>
                </c:pt>
                <c:pt idx="52">
                  <c:v>-15.09</c:v>
                </c:pt>
                <c:pt idx="53">
                  <c:v>-8.42</c:v>
                </c:pt>
                <c:pt idx="54">
                  <c:v>-7.61</c:v>
                </c:pt>
                <c:pt idx="55">
                  <c:v>-7.69</c:v>
                </c:pt>
                <c:pt idx="56">
                  <c:v>-6.95</c:v>
                </c:pt>
                <c:pt idx="57">
                  <c:v>-6.98</c:v>
                </c:pt>
                <c:pt idx="58">
                  <c:v>-6.33</c:v>
                </c:pt>
                <c:pt idx="59">
                  <c:v>-6.34</c:v>
                </c:pt>
                <c:pt idx="60">
                  <c:v>22.49</c:v>
                </c:pt>
                <c:pt idx="61">
                  <c:v>-8.16</c:v>
                </c:pt>
                <c:pt idx="62">
                  <c:v>-5.91</c:v>
                </c:pt>
                <c:pt idx="63">
                  <c:v>-5.92</c:v>
                </c:pt>
                <c:pt idx="64">
                  <c:v>22.16</c:v>
                </c:pt>
                <c:pt idx="65">
                  <c:v>-7.96</c:v>
                </c:pt>
                <c:pt idx="66">
                  <c:v>22.18</c:v>
                </c:pt>
                <c:pt idx="67">
                  <c:v>-5.76</c:v>
                </c:pt>
                <c:pt idx="68">
                  <c:v>-13.71</c:v>
                </c:pt>
                <c:pt idx="69">
                  <c:v>21.88</c:v>
                </c:pt>
                <c:pt idx="70">
                  <c:v>21.88</c:v>
                </c:pt>
                <c:pt idx="71">
                  <c:v>-13.51</c:v>
                </c:pt>
                <c:pt idx="72">
                  <c:v>21.6</c:v>
                </c:pt>
                <c:pt idx="73">
                  <c:v>21.57</c:v>
                </c:pt>
                <c:pt idx="74">
                  <c:v>21.36</c:v>
                </c:pt>
                <c:pt idx="75">
                  <c:v>10.88</c:v>
                </c:pt>
                <c:pt idx="76">
                  <c:v>-17.940000000000001</c:v>
                </c:pt>
                <c:pt idx="77">
                  <c:v>10.68</c:v>
                </c:pt>
                <c:pt idx="78">
                  <c:v>-18</c:v>
                </c:pt>
                <c:pt idx="79">
                  <c:v>21.27</c:v>
                </c:pt>
                <c:pt idx="80">
                  <c:v>21.13</c:v>
                </c:pt>
                <c:pt idx="81">
                  <c:v>24.5</c:v>
                </c:pt>
                <c:pt idx="82">
                  <c:v>24.46</c:v>
                </c:pt>
                <c:pt idx="83">
                  <c:v>20.96</c:v>
                </c:pt>
                <c:pt idx="84">
                  <c:v>13.5</c:v>
                </c:pt>
                <c:pt idx="85">
                  <c:v>-6.49</c:v>
                </c:pt>
                <c:pt idx="86">
                  <c:v>-6.33</c:v>
                </c:pt>
                <c:pt idx="87">
                  <c:v>14.4</c:v>
                </c:pt>
                <c:pt idx="88">
                  <c:v>13.69</c:v>
                </c:pt>
                <c:pt idx="89">
                  <c:v>14.22</c:v>
                </c:pt>
                <c:pt idx="90">
                  <c:v>-12.15</c:v>
                </c:pt>
                <c:pt idx="91">
                  <c:v>-9.17</c:v>
                </c:pt>
                <c:pt idx="92">
                  <c:v>-12.17</c:v>
                </c:pt>
                <c:pt idx="93">
                  <c:v>12.52</c:v>
                </c:pt>
                <c:pt idx="94">
                  <c:v>-9.3699999999999992</c:v>
                </c:pt>
                <c:pt idx="95">
                  <c:v>12.67</c:v>
                </c:pt>
                <c:pt idx="96">
                  <c:v>-16.64</c:v>
                </c:pt>
                <c:pt idx="97">
                  <c:v>8.32</c:v>
                </c:pt>
                <c:pt idx="98">
                  <c:v>-16.7</c:v>
                </c:pt>
                <c:pt idx="99">
                  <c:v>8.44</c:v>
                </c:pt>
                <c:pt idx="100">
                  <c:v>14.82</c:v>
                </c:pt>
                <c:pt idx="101">
                  <c:v>15.01</c:v>
                </c:pt>
                <c:pt idx="102">
                  <c:v>13.3</c:v>
                </c:pt>
                <c:pt idx="103">
                  <c:v>11.91</c:v>
                </c:pt>
                <c:pt idx="104">
                  <c:v>-4.8899999999999997</c:v>
                </c:pt>
                <c:pt idx="105">
                  <c:v>13.45</c:v>
                </c:pt>
                <c:pt idx="106">
                  <c:v>-4.7699999999999996</c:v>
                </c:pt>
                <c:pt idx="107">
                  <c:v>12.05</c:v>
                </c:pt>
                <c:pt idx="108">
                  <c:v>12.65</c:v>
                </c:pt>
                <c:pt idx="109">
                  <c:v>11.18</c:v>
                </c:pt>
                <c:pt idx="110">
                  <c:v>12.51</c:v>
                </c:pt>
                <c:pt idx="111">
                  <c:v>-10.8</c:v>
                </c:pt>
                <c:pt idx="112">
                  <c:v>7.17</c:v>
                </c:pt>
                <c:pt idx="113">
                  <c:v>11.3</c:v>
                </c:pt>
                <c:pt idx="114">
                  <c:v>-10.82</c:v>
                </c:pt>
                <c:pt idx="115">
                  <c:v>-7.69</c:v>
                </c:pt>
                <c:pt idx="116">
                  <c:v>-17.59</c:v>
                </c:pt>
                <c:pt idx="117">
                  <c:v>7.26</c:v>
                </c:pt>
                <c:pt idx="118">
                  <c:v>-17.670000000000002</c:v>
                </c:pt>
                <c:pt idx="119">
                  <c:v>-15.34</c:v>
                </c:pt>
                <c:pt idx="120">
                  <c:v>-7.86</c:v>
                </c:pt>
                <c:pt idx="121">
                  <c:v>-15.41</c:v>
                </c:pt>
                <c:pt idx="122">
                  <c:v>-13.98</c:v>
                </c:pt>
                <c:pt idx="123">
                  <c:v>-14.17</c:v>
                </c:pt>
                <c:pt idx="124">
                  <c:v>-5.55</c:v>
                </c:pt>
                <c:pt idx="125">
                  <c:v>-5.41</c:v>
                </c:pt>
                <c:pt idx="126">
                  <c:v>13.36</c:v>
                </c:pt>
                <c:pt idx="127">
                  <c:v>5.56</c:v>
                </c:pt>
                <c:pt idx="128">
                  <c:v>-8.2899999999999991</c:v>
                </c:pt>
                <c:pt idx="129">
                  <c:v>11.93</c:v>
                </c:pt>
                <c:pt idx="130">
                  <c:v>5.63</c:v>
                </c:pt>
                <c:pt idx="131">
                  <c:v>13.5</c:v>
                </c:pt>
                <c:pt idx="132">
                  <c:v>-8.16</c:v>
                </c:pt>
                <c:pt idx="133">
                  <c:v>-16.48</c:v>
                </c:pt>
                <c:pt idx="134">
                  <c:v>12.04</c:v>
                </c:pt>
                <c:pt idx="135">
                  <c:v>-16.54</c:v>
                </c:pt>
                <c:pt idx="136">
                  <c:v>10.31</c:v>
                </c:pt>
                <c:pt idx="137">
                  <c:v>-3.36</c:v>
                </c:pt>
                <c:pt idx="138">
                  <c:v>-3.42</c:v>
                </c:pt>
                <c:pt idx="139">
                  <c:v>6.02</c:v>
                </c:pt>
                <c:pt idx="140">
                  <c:v>10.41</c:v>
                </c:pt>
                <c:pt idx="141">
                  <c:v>-16.510000000000002</c:v>
                </c:pt>
                <c:pt idx="142">
                  <c:v>6.09</c:v>
                </c:pt>
                <c:pt idx="143">
                  <c:v>9.8800000000000008</c:v>
                </c:pt>
                <c:pt idx="144">
                  <c:v>-16.59</c:v>
                </c:pt>
                <c:pt idx="145">
                  <c:v>6.15</c:v>
                </c:pt>
                <c:pt idx="146">
                  <c:v>6.17</c:v>
                </c:pt>
                <c:pt idx="147">
                  <c:v>-4.41</c:v>
                </c:pt>
                <c:pt idx="148">
                  <c:v>-11.58</c:v>
                </c:pt>
                <c:pt idx="149">
                  <c:v>9.9700000000000006</c:v>
                </c:pt>
                <c:pt idx="150">
                  <c:v>10.89</c:v>
                </c:pt>
                <c:pt idx="151">
                  <c:v>-4.49</c:v>
                </c:pt>
                <c:pt idx="152">
                  <c:v>-14.09</c:v>
                </c:pt>
                <c:pt idx="153">
                  <c:v>-9.48</c:v>
                </c:pt>
                <c:pt idx="154">
                  <c:v>-9.44</c:v>
                </c:pt>
                <c:pt idx="155">
                  <c:v>10.79</c:v>
                </c:pt>
                <c:pt idx="156">
                  <c:v>-16.27</c:v>
                </c:pt>
                <c:pt idx="157">
                  <c:v>-11.39</c:v>
                </c:pt>
                <c:pt idx="158">
                  <c:v>-13.92</c:v>
                </c:pt>
                <c:pt idx="159">
                  <c:v>-16.21</c:v>
                </c:pt>
                <c:pt idx="160">
                  <c:v>-14.03</c:v>
                </c:pt>
                <c:pt idx="161">
                  <c:v>-6.21</c:v>
                </c:pt>
                <c:pt idx="162">
                  <c:v>-14.11</c:v>
                </c:pt>
                <c:pt idx="163">
                  <c:v>4.63</c:v>
                </c:pt>
                <c:pt idx="164">
                  <c:v>12.09</c:v>
                </c:pt>
                <c:pt idx="165">
                  <c:v>-6.35</c:v>
                </c:pt>
                <c:pt idx="166">
                  <c:v>4.7</c:v>
                </c:pt>
                <c:pt idx="167">
                  <c:v>5.51</c:v>
                </c:pt>
                <c:pt idx="168">
                  <c:v>10.61</c:v>
                </c:pt>
                <c:pt idx="169">
                  <c:v>5.53</c:v>
                </c:pt>
                <c:pt idx="170">
                  <c:v>11.36</c:v>
                </c:pt>
                <c:pt idx="171">
                  <c:v>12.2</c:v>
                </c:pt>
                <c:pt idx="172">
                  <c:v>-12.56</c:v>
                </c:pt>
                <c:pt idx="173">
                  <c:v>5.31</c:v>
                </c:pt>
                <c:pt idx="174">
                  <c:v>-2.46</c:v>
                </c:pt>
                <c:pt idx="175">
                  <c:v>5.28</c:v>
                </c:pt>
                <c:pt idx="176">
                  <c:v>12.01</c:v>
                </c:pt>
                <c:pt idx="177">
                  <c:v>10.67</c:v>
                </c:pt>
                <c:pt idx="178">
                  <c:v>11.7</c:v>
                </c:pt>
                <c:pt idx="179">
                  <c:v>11.19</c:v>
                </c:pt>
                <c:pt idx="180">
                  <c:v>-12.69</c:v>
                </c:pt>
                <c:pt idx="181">
                  <c:v>-9.4600000000000009</c:v>
                </c:pt>
                <c:pt idx="182">
                  <c:v>-15.31</c:v>
                </c:pt>
                <c:pt idx="183">
                  <c:v>-9.49</c:v>
                </c:pt>
                <c:pt idx="184">
                  <c:v>-15.3</c:v>
                </c:pt>
                <c:pt idx="185">
                  <c:v>-15.38</c:v>
                </c:pt>
                <c:pt idx="186">
                  <c:v>-10.73</c:v>
                </c:pt>
                <c:pt idx="187">
                  <c:v>-15.47</c:v>
                </c:pt>
                <c:pt idx="188">
                  <c:v>11.96</c:v>
                </c:pt>
                <c:pt idx="189">
                  <c:v>-10.59</c:v>
                </c:pt>
                <c:pt idx="190">
                  <c:v>7.35</c:v>
                </c:pt>
                <c:pt idx="191">
                  <c:v>10.63</c:v>
                </c:pt>
                <c:pt idx="192">
                  <c:v>-13.4</c:v>
                </c:pt>
                <c:pt idx="193">
                  <c:v>7.86</c:v>
                </c:pt>
                <c:pt idx="194">
                  <c:v>11.96</c:v>
                </c:pt>
                <c:pt idx="195">
                  <c:v>4.9800000000000004</c:v>
                </c:pt>
                <c:pt idx="196">
                  <c:v>10.46</c:v>
                </c:pt>
                <c:pt idx="197">
                  <c:v>-15.43</c:v>
                </c:pt>
                <c:pt idx="198">
                  <c:v>5.0199999999999996</c:v>
                </c:pt>
                <c:pt idx="199">
                  <c:v>10.71</c:v>
                </c:pt>
                <c:pt idx="200">
                  <c:v>-15.51</c:v>
                </c:pt>
                <c:pt idx="201">
                  <c:v>7.46</c:v>
                </c:pt>
                <c:pt idx="202">
                  <c:v>-13.28</c:v>
                </c:pt>
                <c:pt idx="203">
                  <c:v>4.88</c:v>
                </c:pt>
                <c:pt idx="204">
                  <c:v>-8.69</c:v>
                </c:pt>
                <c:pt idx="205">
                  <c:v>7.75</c:v>
                </c:pt>
                <c:pt idx="206">
                  <c:v>12.04</c:v>
                </c:pt>
                <c:pt idx="207">
                  <c:v>4.8899999999999997</c:v>
                </c:pt>
                <c:pt idx="208">
                  <c:v>11.84</c:v>
                </c:pt>
                <c:pt idx="209">
                  <c:v>-15.38</c:v>
                </c:pt>
                <c:pt idx="210">
                  <c:v>10.41</c:v>
                </c:pt>
                <c:pt idx="211">
                  <c:v>-15.33</c:v>
                </c:pt>
                <c:pt idx="212">
                  <c:v>-5.14</c:v>
                </c:pt>
                <c:pt idx="213">
                  <c:v>8.9700000000000006</c:v>
                </c:pt>
                <c:pt idx="214">
                  <c:v>11.8</c:v>
                </c:pt>
                <c:pt idx="215">
                  <c:v>8.64</c:v>
                </c:pt>
                <c:pt idx="216">
                  <c:v>9.0399999999999991</c:v>
                </c:pt>
                <c:pt idx="217">
                  <c:v>-5.26</c:v>
                </c:pt>
                <c:pt idx="218">
                  <c:v>6.78</c:v>
                </c:pt>
                <c:pt idx="219">
                  <c:v>8.0299999999999994</c:v>
                </c:pt>
                <c:pt idx="220">
                  <c:v>4.54</c:v>
                </c:pt>
                <c:pt idx="221">
                  <c:v>4.51</c:v>
                </c:pt>
                <c:pt idx="222">
                  <c:v>8.6999999999999993</c:v>
                </c:pt>
                <c:pt idx="223">
                  <c:v>3.76</c:v>
                </c:pt>
                <c:pt idx="224">
                  <c:v>-9.83</c:v>
                </c:pt>
                <c:pt idx="225">
                  <c:v>8.1199999999999992</c:v>
                </c:pt>
                <c:pt idx="226">
                  <c:v>3.81</c:v>
                </c:pt>
                <c:pt idx="227">
                  <c:v>6.86</c:v>
                </c:pt>
                <c:pt idx="228">
                  <c:v>-9.91</c:v>
                </c:pt>
                <c:pt idx="229">
                  <c:v>4.59</c:v>
                </c:pt>
                <c:pt idx="230">
                  <c:v>10.33</c:v>
                </c:pt>
                <c:pt idx="231">
                  <c:v>8</c:v>
                </c:pt>
                <c:pt idx="232">
                  <c:v>10.91</c:v>
                </c:pt>
                <c:pt idx="233">
                  <c:v>11.68</c:v>
                </c:pt>
                <c:pt idx="234">
                  <c:v>4.66</c:v>
                </c:pt>
                <c:pt idx="235">
                  <c:v>4.28</c:v>
                </c:pt>
                <c:pt idx="236">
                  <c:v>-8.8000000000000007</c:v>
                </c:pt>
                <c:pt idx="237">
                  <c:v>9.4</c:v>
                </c:pt>
                <c:pt idx="238">
                  <c:v>-12.81</c:v>
                </c:pt>
                <c:pt idx="239">
                  <c:v>10.3</c:v>
                </c:pt>
                <c:pt idx="240">
                  <c:v>-12.73</c:v>
                </c:pt>
                <c:pt idx="241">
                  <c:v>11.65</c:v>
                </c:pt>
                <c:pt idx="242">
                  <c:v>4.28</c:v>
                </c:pt>
                <c:pt idx="243">
                  <c:v>-14.44</c:v>
                </c:pt>
                <c:pt idx="244">
                  <c:v>-14.42</c:v>
                </c:pt>
                <c:pt idx="245">
                  <c:v>8.11</c:v>
                </c:pt>
                <c:pt idx="246">
                  <c:v>10.99</c:v>
                </c:pt>
                <c:pt idx="247">
                  <c:v>-9.1</c:v>
                </c:pt>
                <c:pt idx="248">
                  <c:v>9.34</c:v>
                </c:pt>
                <c:pt idx="249">
                  <c:v>18.63</c:v>
                </c:pt>
                <c:pt idx="250">
                  <c:v>7.17</c:v>
                </c:pt>
                <c:pt idx="251">
                  <c:v>10.52</c:v>
                </c:pt>
                <c:pt idx="252">
                  <c:v>-12.73</c:v>
                </c:pt>
                <c:pt idx="253">
                  <c:v>-9.17</c:v>
                </c:pt>
                <c:pt idx="254">
                  <c:v>7.25</c:v>
                </c:pt>
                <c:pt idx="255">
                  <c:v>-8.91</c:v>
                </c:pt>
                <c:pt idx="256">
                  <c:v>-12.63</c:v>
                </c:pt>
                <c:pt idx="257">
                  <c:v>-14.45</c:v>
                </c:pt>
                <c:pt idx="258">
                  <c:v>18.68</c:v>
                </c:pt>
                <c:pt idx="259">
                  <c:v>10.19</c:v>
                </c:pt>
                <c:pt idx="260">
                  <c:v>-14.54</c:v>
                </c:pt>
                <c:pt idx="261">
                  <c:v>-4.74</c:v>
                </c:pt>
                <c:pt idx="262">
                  <c:v>-12.15</c:v>
                </c:pt>
                <c:pt idx="263">
                  <c:v>10.220000000000001</c:v>
                </c:pt>
                <c:pt idx="264">
                  <c:v>-11.46</c:v>
                </c:pt>
                <c:pt idx="265">
                  <c:v>11.21</c:v>
                </c:pt>
                <c:pt idx="266">
                  <c:v>-14.5</c:v>
                </c:pt>
                <c:pt idx="267">
                  <c:v>11.49</c:v>
                </c:pt>
                <c:pt idx="268">
                  <c:v>-4.84</c:v>
                </c:pt>
                <c:pt idx="269">
                  <c:v>4.08</c:v>
                </c:pt>
                <c:pt idx="270">
                  <c:v>11.51</c:v>
                </c:pt>
                <c:pt idx="271">
                  <c:v>10.09</c:v>
                </c:pt>
                <c:pt idx="272">
                  <c:v>3.71</c:v>
                </c:pt>
                <c:pt idx="273">
                  <c:v>4.09</c:v>
                </c:pt>
                <c:pt idx="274">
                  <c:v>-11.42</c:v>
                </c:pt>
                <c:pt idx="275">
                  <c:v>-14.44</c:v>
                </c:pt>
                <c:pt idx="276">
                  <c:v>3.77</c:v>
                </c:pt>
                <c:pt idx="277">
                  <c:v>-8.61</c:v>
                </c:pt>
                <c:pt idx="278">
                  <c:v>3.71</c:v>
                </c:pt>
                <c:pt idx="279">
                  <c:v>3.74</c:v>
                </c:pt>
                <c:pt idx="280">
                  <c:v>10.1</c:v>
                </c:pt>
                <c:pt idx="281">
                  <c:v>11.07</c:v>
                </c:pt>
                <c:pt idx="282">
                  <c:v>-12.01</c:v>
                </c:pt>
                <c:pt idx="283">
                  <c:v>6.8</c:v>
                </c:pt>
                <c:pt idx="284">
                  <c:v>17.63</c:v>
                </c:pt>
                <c:pt idx="285">
                  <c:v>3.46</c:v>
                </c:pt>
                <c:pt idx="286">
                  <c:v>6.8</c:v>
                </c:pt>
                <c:pt idx="287">
                  <c:v>-14.34</c:v>
                </c:pt>
                <c:pt idx="288">
                  <c:v>-9.1999999999999993</c:v>
                </c:pt>
                <c:pt idx="289">
                  <c:v>-8.6300000000000008</c:v>
                </c:pt>
                <c:pt idx="290">
                  <c:v>-14.43</c:v>
                </c:pt>
                <c:pt idx="291">
                  <c:v>9.99</c:v>
                </c:pt>
                <c:pt idx="292">
                  <c:v>-9.24</c:v>
                </c:pt>
                <c:pt idx="293">
                  <c:v>7.12</c:v>
                </c:pt>
                <c:pt idx="294">
                  <c:v>18.47</c:v>
                </c:pt>
                <c:pt idx="295">
                  <c:v>-7.53</c:v>
                </c:pt>
                <c:pt idx="296">
                  <c:v>17.690000000000001</c:v>
                </c:pt>
                <c:pt idx="297">
                  <c:v>2.91</c:v>
                </c:pt>
                <c:pt idx="298">
                  <c:v>7.2</c:v>
                </c:pt>
                <c:pt idx="299">
                  <c:v>-7.64</c:v>
                </c:pt>
                <c:pt idx="300">
                  <c:v>2.97</c:v>
                </c:pt>
                <c:pt idx="301">
                  <c:v>9.42</c:v>
                </c:pt>
                <c:pt idx="302">
                  <c:v>18.510000000000002</c:v>
                </c:pt>
                <c:pt idx="303">
                  <c:v>11.34</c:v>
                </c:pt>
                <c:pt idx="304">
                  <c:v>9.4700000000000006</c:v>
                </c:pt>
                <c:pt idx="305">
                  <c:v>11.34</c:v>
                </c:pt>
                <c:pt idx="306">
                  <c:v>-8.26</c:v>
                </c:pt>
                <c:pt idx="307">
                  <c:v>-8.06</c:v>
                </c:pt>
                <c:pt idx="308">
                  <c:v>-8.14</c:v>
                </c:pt>
                <c:pt idx="309">
                  <c:v>7.62</c:v>
                </c:pt>
                <c:pt idx="310">
                  <c:v>10.56</c:v>
                </c:pt>
                <c:pt idx="311">
                  <c:v>7.64</c:v>
                </c:pt>
                <c:pt idx="312">
                  <c:v>7.9</c:v>
                </c:pt>
                <c:pt idx="313">
                  <c:v>-12.08</c:v>
                </c:pt>
                <c:pt idx="314">
                  <c:v>10.64</c:v>
                </c:pt>
                <c:pt idx="315">
                  <c:v>-8.65</c:v>
                </c:pt>
                <c:pt idx="316">
                  <c:v>3.13</c:v>
                </c:pt>
                <c:pt idx="317">
                  <c:v>-13.54</c:v>
                </c:pt>
                <c:pt idx="318">
                  <c:v>-13.58</c:v>
                </c:pt>
                <c:pt idx="319">
                  <c:v>10.62</c:v>
                </c:pt>
                <c:pt idx="320">
                  <c:v>-8.68</c:v>
                </c:pt>
                <c:pt idx="321">
                  <c:v>11.18</c:v>
                </c:pt>
                <c:pt idx="322">
                  <c:v>7.92</c:v>
                </c:pt>
                <c:pt idx="323">
                  <c:v>3.17</c:v>
                </c:pt>
                <c:pt idx="324">
                  <c:v>10.51</c:v>
                </c:pt>
                <c:pt idx="325">
                  <c:v>-12.06</c:v>
                </c:pt>
                <c:pt idx="326">
                  <c:v>17.52</c:v>
                </c:pt>
                <c:pt idx="327">
                  <c:v>-11.99</c:v>
                </c:pt>
                <c:pt idx="328">
                  <c:v>18.32</c:v>
                </c:pt>
                <c:pt idx="329">
                  <c:v>9.77</c:v>
                </c:pt>
                <c:pt idx="330">
                  <c:v>17.57</c:v>
                </c:pt>
                <c:pt idx="331">
                  <c:v>18.350000000000001</c:v>
                </c:pt>
                <c:pt idx="332">
                  <c:v>3.04</c:v>
                </c:pt>
                <c:pt idx="333">
                  <c:v>3</c:v>
                </c:pt>
                <c:pt idx="334">
                  <c:v>3.82</c:v>
                </c:pt>
                <c:pt idx="335">
                  <c:v>9.83</c:v>
                </c:pt>
                <c:pt idx="336">
                  <c:v>-11.26</c:v>
                </c:pt>
                <c:pt idx="337">
                  <c:v>6.04</c:v>
                </c:pt>
                <c:pt idx="338">
                  <c:v>6.04</c:v>
                </c:pt>
                <c:pt idx="339">
                  <c:v>-6.11</c:v>
                </c:pt>
                <c:pt idx="340">
                  <c:v>-13.68</c:v>
                </c:pt>
                <c:pt idx="341">
                  <c:v>-7.34</c:v>
                </c:pt>
                <c:pt idx="342">
                  <c:v>-11.15</c:v>
                </c:pt>
                <c:pt idx="343">
                  <c:v>3.32</c:v>
                </c:pt>
                <c:pt idx="344">
                  <c:v>-8.4600000000000009</c:v>
                </c:pt>
                <c:pt idx="345">
                  <c:v>-13.61</c:v>
                </c:pt>
                <c:pt idx="346">
                  <c:v>6.49</c:v>
                </c:pt>
                <c:pt idx="347">
                  <c:v>3.33</c:v>
                </c:pt>
                <c:pt idx="348">
                  <c:v>-7.42</c:v>
                </c:pt>
                <c:pt idx="349">
                  <c:v>-8.44</c:v>
                </c:pt>
                <c:pt idx="350">
                  <c:v>-7.24</c:v>
                </c:pt>
                <c:pt idx="351">
                  <c:v>-6</c:v>
                </c:pt>
                <c:pt idx="352">
                  <c:v>-13.52</c:v>
                </c:pt>
                <c:pt idx="353">
                  <c:v>6.29</c:v>
                </c:pt>
                <c:pt idx="354">
                  <c:v>-13.61</c:v>
                </c:pt>
                <c:pt idx="355">
                  <c:v>-7.36</c:v>
                </c:pt>
                <c:pt idx="356">
                  <c:v>6.21</c:v>
                </c:pt>
                <c:pt idx="357">
                  <c:v>-13.26</c:v>
                </c:pt>
                <c:pt idx="358">
                  <c:v>-13.35</c:v>
                </c:pt>
                <c:pt idx="359">
                  <c:v>2.15</c:v>
                </c:pt>
                <c:pt idx="360">
                  <c:v>2.1800000000000002</c:v>
                </c:pt>
                <c:pt idx="361">
                  <c:v>18.18</c:v>
                </c:pt>
                <c:pt idx="362">
                  <c:v>7.93</c:v>
                </c:pt>
                <c:pt idx="363">
                  <c:v>10.16</c:v>
                </c:pt>
                <c:pt idx="364">
                  <c:v>7.95</c:v>
                </c:pt>
                <c:pt idx="365">
                  <c:v>18.16</c:v>
                </c:pt>
                <c:pt idx="366">
                  <c:v>6.28</c:v>
                </c:pt>
                <c:pt idx="367">
                  <c:v>17.420000000000002</c:v>
                </c:pt>
                <c:pt idx="368">
                  <c:v>10.19</c:v>
                </c:pt>
                <c:pt idx="369">
                  <c:v>-7.98</c:v>
                </c:pt>
                <c:pt idx="370">
                  <c:v>-7.98</c:v>
                </c:pt>
                <c:pt idx="371">
                  <c:v>2.94</c:v>
                </c:pt>
                <c:pt idx="372">
                  <c:v>2.93</c:v>
                </c:pt>
                <c:pt idx="373">
                  <c:v>5.43</c:v>
                </c:pt>
                <c:pt idx="374">
                  <c:v>17.45</c:v>
                </c:pt>
                <c:pt idx="375">
                  <c:v>7.24</c:v>
                </c:pt>
                <c:pt idx="376">
                  <c:v>5.53</c:v>
                </c:pt>
                <c:pt idx="377">
                  <c:v>-11.65</c:v>
                </c:pt>
                <c:pt idx="378">
                  <c:v>6.09</c:v>
                </c:pt>
                <c:pt idx="379">
                  <c:v>-6.74</c:v>
                </c:pt>
                <c:pt idx="380">
                  <c:v>-11.58</c:v>
                </c:pt>
                <c:pt idx="381">
                  <c:v>-3.34</c:v>
                </c:pt>
                <c:pt idx="382">
                  <c:v>-10.35</c:v>
                </c:pt>
                <c:pt idx="383">
                  <c:v>-3.27</c:v>
                </c:pt>
                <c:pt idx="384">
                  <c:v>6.05</c:v>
                </c:pt>
                <c:pt idx="385">
                  <c:v>-6.73</c:v>
                </c:pt>
                <c:pt idx="386">
                  <c:v>-10.31</c:v>
                </c:pt>
                <c:pt idx="387">
                  <c:v>7.19</c:v>
                </c:pt>
                <c:pt idx="388">
                  <c:v>2.4500000000000002</c:v>
                </c:pt>
                <c:pt idx="389">
                  <c:v>4.3499999999999996</c:v>
                </c:pt>
                <c:pt idx="390">
                  <c:v>2.41</c:v>
                </c:pt>
                <c:pt idx="391">
                  <c:v>18.02</c:v>
                </c:pt>
                <c:pt idx="392">
                  <c:v>-12.67</c:v>
                </c:pt>
                <c:pt idx="393">
                  <c:v>18.010000000000002</c:v>
                </c:pt>
                <c:pt idx="394">
                  <c:v>-12.71</c:v>
                </c:pt>
                <c:pt idx="395">
                  <c:v>4.41</c:v>
                </c:pt>
                <c:pt idx="396">
                  <c:v>17.329999999999998</c:v>
                </c:pt>
                <c:pt idx="397">
                  <c:v>8.36</c:v>
                </c:pt>
                <c:pt idx="398">
                  <c:v>17.309999999999999</c:v>
                </c:pt>
                <c:pt idx="399">
                  <c:v>8.39</c:v>
                </c:pt>
                <c:pt idx="400">
                  <c:v>-11.35</c:v>
                </c:pt>
                <c:pt idx="401">
                  <c:v>5.29</c:v>
                </c:pt>
                <c:pt idx="402">
                  <c:v>5.28</c:v>
                </c:pt>
                <c:pt idx="403">
                  <c:v>-10.37</c:v>
                </c:pt>
                <c:pt idx="404">
                  <c:v>17.22</c:v>
                </c:pt>
                <c:pt idx="405">
                  <c:v>-6.17</c:v>
                </c:pt>
                <c:pt idx="406">
                  <c:v>17.21</c:v>
                </c:pt>
                <c:pt idx="407">
                  <c:v>-4.68</c:v>
                </c:pt>
                <c:pt idx="408">
                  <c:v>10.11</c:v>
                </c:pt>
                <c:pt idx="409">
                  <c:v>17.86</c:v>
                </c:pt>
                <c:pt idx="410">
                  <c:v>1.97</c:v>
                </c:pt>
                <c:pt idx="411">
                  <c:v>10.119999999999999</c:v>
                </c:pt>
                <c:pt idx="412">
                  <c:v>-10.31</c:v>
                </c:pt>
                <c:pt idx="413">
                  <c:v>-12.96</c:v>
                </c:pt>
                <c:pt idx="414">
                  <c:v>-6.17</c:v>
                </c:pt>
                <c:pt idx="415">
                  <c:v>-12.94</c:v>
                </c:pt>
                <c:pt idx="416">
                  <c:v>17.100000000000001</c:v>
                </c:pt>
                <c:pt idx="417">
                  <c:v>1.89</c:v>
                </c:pt>
                <c:pt idx="418">
                  <c:v>-4.74</c:v>
                </c:pt>
                <c:pt idx="419">
                  <c:v>-6.41</c:v>
                </c:pt>
                <c:pt idx="420">
                  <c:v>-12.79</c:v>
                </c:pt>
                <c:pt idx="421">
                  <c:v>9.3699999999999992</c:v>
                </c:pt>
                <c:pt idx="422">
                  <c:v>8.7799999999999994</c:v>
                </c:pt>
                <c:pt idx="423">
                  <c:v>-6.32</c:v>
                </c:pt>
                <c:pt idx="424">
                  <c:v>8.81</c:v>
                </c:pt>
                <c:pt idx="425">
                  <c:v>-6.26</c:v>
                </c:pt>
                <c:pt idx="426">
                  <c:v>3.69</c:v>
                </c:pt>
                <c:pt idx="427">
                  <c:v>3.69</c:v>
                </c:pt>
                <c:pt idx="428">
                  <c:v>7.19</c:v>
                </c:pt>
                <c:pt idx="429">
                  <c:v>5.82</c:v>
                </c:pt>
                <c:pt idx="430">
                  <c:v>9.4</c:v>
                </c:pt>
                <c:pt idx="431">
                  <c:v>9.4600000000000009</c:v>
                </c:pt>
                <c:pt idx="432">
                  <c:v>5.75</c:v>
                </c:pt>
                <c:pt idx="433">
                  <c:v>5.32</c:v>
                </c:pt>
                <c:pt idx="434">
                  <c:v>-12.59</c:v>
                </c:pt>
                <c:pt idx="435">
                  <c:v>9.48</c:v>
                </c:pt>
                <c:pt idx="436">
                  <c:v>-5.76</c:v>
                </c:pt>
                <c:pt idx="437">
                  <c:v>-12.69</c:v>
                </c:pt>
                <c:pt idx="438">
                  <c:v>8.86</c:v>
                </c:pt>
                <c:pt idx="439">
                  <c:v>5.36</c:v>
                </c:pt>
                <c:pt idx="440">
                  <c:v>8.89</c:v>
                </c:pt>
                <c:pt idx="441">
                  <c:v>10.06</c:v>
                </c:pt>
                <c:pt idx="442">
                  <c:v>10.050000000000001</c:v>
                </c:pt>
                <c:pt idx="443">
                  <c:v>9.99</c:v>
                </c:pt>
                <c:pt idx="444">
                  <c:v>-12.8</c:v>
                </c:pt>
                <c:pt idx="445">
                  <c:v>4.54</c:v>
                </c:pt>
                <c:pt idx="446">
                  <c:v>-2.46</c:v>
                </c:pt>
                <c:pt idx="447">
                  <c:v>-11.79</c:v>
                </c:pt>
                <c:pt idx="448">
                  <c:v>-11.84</c:v>
                </c:pt>
                <c:pt idx="449">
                  <c:v>4.54</c:v>
                </c:pt>
                <c:pt idx="450">
                  <c:v>7.78</c:v>
                </c:pt>
                <c:pt idx="451">
                  <c:v>-9.58</c:v>
                </c:pt>
                <c:pt idx="452">
                  <c:v>-9.5500000000000007</c:v>
                </c:pt>
                <c:pt idx="453">
                  <c:v>-9.1999999999999993</c:v>
                </c:pt>
                <c:pt idx="454">
                  <c:v>-9.25</c:v>
                </c:pt>
                <c:pt idx="455">
                  <c:v>-12.35</c:v>
                </c:pt>
                <c:pt idx="456">
                  <c:v>8.75</c:v>
                </c:pt>
                <c:pt idx="457">
                  <c:v>4.7300000000000004</c:v>
                </c:pt>
                <c:pt idx="458">
                  <c:v>4.74</c:v>
                </c:pt>
                <c:pt idx="459">
                  <c:v>7.89</c:v>
                </c:pt>
                <c:pt idx="460">
                  <c:v>7.91</c:v>
                </c:pt>
                <c:pt idx="461">
                  <c:v>-11.33</c:v>
                </c:pt>
                <c:pt idx="462">
                  <c:v>3.88</c:v>
                </c:pt>
                <c:pt idx="463">
                  <c:v>3.88</c:v>
                </c:pt>
                <c:pt idx="464">
                  <c:v>-8.92</c:v>
                </c:pt>
                <c:pt idx="465">
                  <c:v>-8.93</c:v>
                </c:pt>
                <c:pt idx="466">
                  <c:v>-8.8000000000000007</c:v>
                </c:pt>
                <c:pt idx="467">
                  <c:v>-8.81</c:v>
                </c:pt>
                <c:pt idx="468">
                  <c:v>4.29</c:v>
                </c:pt>
                <c:pt idx="469">
                  <c:v>3.79</c:v>
                </c:pt>
                <c:pt idx="470">
                  <c:v>-8.69</c:v>
                </c:pt>
                <c:pt idx="471">
                  <c:v>-8.26</c:v>
                </c:pt>
                <c:pt idx="472">
                  <c:v>7.55</c:v>
                </c:pt>
                <c:pt idx="473">
                  <c:v>7.24</c:v>
                </c:pt>
                <c:pt idx="474">
                  <c:v>-8.39</c:v>
                </c:pt>
                <c:pt idx="475">
                  <c:v>3.46</c:v>
                </c:pt>
                <c:pt idx="476">
                  <c:v>3.81</c:v>
                </c:pt>
                <c:pt idx="477">
                  <c:v>-8.59</c:v>
                </c:pt>
                <c:pt idx="478">
                  <c:v>7.6</c:v>
                </c:pt>
                <c:pt idx="479">
                  <c:v>7.59</c:v>
                </c:pt>
                <c:pt idx="480">
                  <c:v>-11.34</c:v>
                </c:pt>
                <c:pt idx="481">
                  <c:v>-12.09</c:v>
                </c:pt>
                <c:pt idx="482">
                  <c:v>3.58</c:v>
                </c:pt>
                <c:pt idx="483">
                  <c:v>3.56</c:v>
                </c:pt>
                <c:pt idx="484">
                  <c:v>4.1500000000000004</c:v>
                </c:pt>
                <c:pt idx="485">
                  <c:v>4.1500000000000004</c:v>
                </c:pt>
                <c:pt idx="486">
                  <c:v>8.75</c:v>
                </c:pt>
                <c:pt idx="487">
                  <c:v>-9.4499999999999993</c:v>
                </c:pt>
                <c:pt idx="488">
                  <c:v>-9.48</c:v>
                </c:pt>
                <c:pt idx="489">
                  <c:v>-9.14</c:v>
                </c:pt>
                <c:pt idx="490">
                  <c:v>-9.09</c:v>
                </c:pt>
                <c:pt idx="491">
                  <c:v>-11.86</c:v>
                </c:pt>
                <c:pt idx="492">
                  <c:v>6.38</c:v>
                </c:pt>
                <c:pt idx="493">
                  <c:v>-12.8</c:v>
                </c:pt>
                <c:pt idx="494">
                  <c:v>-11.81</c:v>
                </c:pt>
                <c:pt idx="495">
                  <c:v>-2.5</c:v>
                </c:pt>
                <c:pt idx="496">
                  <c:v>9.01</c:v>
                </c:pt>
                <c:pt idx="497">
                  <c:v>4.24</c:v>
                </c:pt>
                <c:pt idx="498">
                  <c:v>4.24</c:v>
                </c:pt>
                <c:pt idx="499">
                  <c:v>-12.43</c:v>
                </c:pt>
                <c:pt idx="500">
                  <c:v>-12.33</c:v>
                </c:pt>
                <c:pt idx="501">
                  <c:v>7.78</c:v>
                </c:pt>
                <c:pt idx="502">
                  <c:v>9.27</c:v>
                </c:pt>
                <c:pt idx="503">
                  <c:v>17.100000000000001</c:v>
                </c:pt>
                <c:pt idx="504">
                  <c:v>8.98</c:v>
                </c:pt>
                <c:pt idx="505">
                  <c:v>9.23</c:v>
                </c:pt>
                <c:pt idx="506">
                  <c:v>8.4499999999999993</c:v>
                </c:pt>
                <c:pt idx="507">
                  <c:v>17.86</c:v>
                </c:pt>
                <c:pt idx="508">
                  <c:v>17.25</c:v>
                </c:pt>
                <c:pt idx="509">
                  <c:v>17.260000000000002</c:v>
                </c:pt>
                <c:pt idx="510">
                  <c:v>8.41</c:v>
                </c:pt>
                <c:pt idx="511">
                  <c:v>9.35</c:v>
                </c:pt>
                <c:pt idx="512">
                  <c:v>17.96</c:v>
                </c:pt>
                <c:pt idx="513">
                  <c:v>-12.79</c:v>
                </c:pt>
                <c:pt idx="514">
                  <c:v>-5.65</c:v>
                </c:pt>
                <c:pt idx="515">
                  <c:v>4.84</c:v>
                </c:pt>
                <c:pt idx="516">
                  <c:v>3.54</c:v>
                </c:pt>
                <c:pt idx="517">
                  <c:v>3.54</c:v>
                </c:pt>
                <c:pt idx="518">
                  <c:v>-6.35</c:v>
                </c:pt>
                <c:pt idx="519">
                  <c:v>17.97</c:v>
                </c:pt>
                <c:pt idx="520">
                  <c:v>6.23</c:v>
                </c:pt>
                <c:pt idx="521">
                  <c:v>9.32</c:v>
                </c:pt>
                <c:pt idx="522">
                  <c:v>4.79</c:v>
                </c:pt>
                <c:pt idx="523">
                  <c:v>6.3</c:v>
                </c:pt>
                <c:pt idx="524">
                  <c:v>-10.19</c:v>
                </c:pt>
                <c:pt idx="525">
                  <c:v>11.22</c:v>
                </c:pt>
                <c:pt idx="526">
                  <c:v>-12.94</c:v>
                </c:pt>
                <c:pt idx="527">
                  <c:v>-4.6900000000000004</c:v>
                </c:pt>
                <c:pt idx="528">
                  <c:v>11.27</c:v>
                </c:pt>
                <c:pt idx="529">
                  <c:v>-12.97</c:v>
                </c:pt>
                <c:pt idx="530">
                  <c:v>7.55</c:v>
                </c:pt>
                <c:pt idx="531">
                  <c:v>11.28</c:v>
                </c:pt>
                <c:pt idx="532">
                  <c:v>18.09</c:v>
                </c:pt>
                <c:pt idx="533">
                  <c:v>-10.25</c:v>
                </c:pt>
                <c:pt idx="534">
                  <c:v>18.07</c:v>
                </c:pt>
                <c:pt idx="535">
                  <c:v>-11.34</c:v>
                </c:pt>
                <c:pt idx="536">
                  <c:v>6.13</c:v>
                </c:pt>
                <c:pt idx="537">
                  <c:v>-4.63</c:v>
                </c:pt>
                <c:pt idx="538">
                  <c:v>-6.06</c:v>
                </c:pt>
                <c:pt idx="539">
                  <c:v>17.41</c:v>
                </c:pt>
                <c:pt idx="540">
                  <c:v>17.399999999999999</c:v>
                </c:pt>
                <c:pt idx="541">
                  <c:v>6.16</c:v>
                </c:pt>
                <c:pt idx="542">
                  <c:v>1.88</c:v>
                </c:pt>
                <c:pt idx="543">
                  <c:v>-6.06</c:v>
                </c:pt>
                <c:pt idx="544">
                  <c:v>7.3</c:v>
                </c:pt>
                <c:pt idx="545">
                  <c:v>7.29</c:v>
                </c:pt>
                <c:pt idx="546">
                  <c:v>1.97</c:v>
                </c:pt>
                <c:pt idx="547">
                  <c:v>-12.74</c:v>
                </c:pt>
                <c:pt idx="548">
                  <c:v>-12.7</c:v>
                </c:pt>
                <c:pt idx="549">
                  <c:v>4.9800000000000004</c:v>
                </c:pt>
                <c:pt idx="550">
                  <c:v>4.99</c:v>
                </c:pt>
                <c:pt idx="551">
                  <c:v>11.35</c:v>
                </c:pt>
                <c:pt idx="552">
                  <c:v>4.09</c:v>
                </c:pt>
                <c:pt idx="553">
                  <c:v>-11.57</c:v>
                </c:pt>
                <c:pt idx="554">
                  <c:v>11.33</c:v>
                </c:pt>
                <c:pt idx="555">
                  <c:v>-3.3</c:v>
                </c:pt>
                <c:pt idx="556">
                  <c:v>-11.64</c:v>
                </c:pt>
                <c:pt idx="557">
                  <c:v>4.04</c:v>
                </c:pt>
                <c:pt idx="558">
                  <c:v>-3.37</c:v>
                </c:pt>
                <c:pt idx="559">
                  <c:v>8.4600000000000009</c:v>
                </c:pt>
                <c:pt idx="560">
                  <c:v>2.34</c:v>
                </c:pt>
                <c:pt idx="561">
                  <c:v>8.44</c:v>
                </c:pt>
                <c:pt idx="562">
                  <c:v>5.93</c:v>
                </c:pt>
                <c:pt idx="563">
                  <c:v>2.38</c:v>
                </c:pt>
                <c:pt idx="564">
                  <c:v>18.21</c:v>
                </c:pt>
                <c:pt idx="565">
                  <c:v>-6.63</c:v>
                </c:pt>
                <c:pt idx="566">
                  <c:v>5.96</c:v>
                </c:pt>
                <c:pt idx="567">
                  <c:v>18.170000000000002</c:v>
                </c:pt>
                <c:pt idx="568">
                  <c:v>-8.01</c:v>
                </c:pt>
                <c:pt idx="569">
                  <c:v>-8.02</c:v>
                </c:pt>
                <c:pt idx="570">
                  <c:v>17.57</c:v>
                </c:pt>
                <c:pt idx="571">
                  <c:v>-13.33</c:v>
                </c:pt>
                <c:pt idx="572">
                  <c:v>-6.64</c:v>
                </c:pt>
                <c:pt idx="573">
                  <c:v>-10.24</c:v>
                </c:pt>
                <c:pt idx="574">
                  <c:v>-13.33</c:v>
                </c:pt>
                <c:pt idx="575">
                  <c:v>-13.24</c:v>
                </c:pt>
                <c:pt idx="576">
                  <c:v>-13.24</c:v>
                </c:pt>
                <c:pt idx="577">
                  <c:v>17.55</c:v>
                </c:pt>
                <c:pt idx="578">
                  <c:v>2.91</c:v>
                </c:pt>
                <c:pt idx="579">
                  <c:v>2.92</c:v>
                </c:pt>
                <c:pt idx="580">
                  <c:v>-10.28</c:v>
                </c:pt>
                <c:pt idx="581">
                  <c:v>6.55</c:v>
                </c:pt>
                <c:pt idx="582">
                  <c:v>6.23</c:v>
                </c:pt>
                <c:pt idx="583">
                  <c:v>11.32</c:v>
                </c:pt>
                <c:pt idx="584">
                  <c:v>-7.24</c:v>
                </c:pt>
                <c:pt idx="585">
                  <c:v>5.7</c:v>
                </c:pt>
                <c:pt idx="586">
                  <c:v>-11.03</c:v>
                </c:pt>
                <c:pt idx="587">
                  <c:v>-8.43</c:v>
                </c:pt>
                <c:pt idx="588">
                  <c:v>7.8</c:v>
                </c:pt>
                <c:pt idx="589">
                  <c:v>-6.05</c:v>
                </c:pt>
                <c:pt idx="590">
                  <c:v>-8.4600000000000009</c:v>
                </c:pt>
                <c:pt idx="591">
                  <c:v>5.63</c:v>
                </c:pt>
                <c:pt idx="592">
                  <c:v>-7.33</c:v>
                </c:pt>
                <c:pt idx="593">
                  <c:v>-7.25</c:v>
                </c:pt>
                <c:pt idx="594">
                  <c:v>-13.6</c:v>
                </c:pt>
                <c:pt idx="595">
                  <c:v>7.78</c:v>
                </c:pt>
                <c:pt idx="596">
                  <c:v>-13.66</c:v>
                </c:pt>
                <c:pt idx="597">
                  <c:v>9.4</c:v>
                </c:pt>
                <c:pt idx="598">
                  <c:v>11.42</c:v>
                </c:pt>
                <c:pt idx="599">
                  <c:v>-11.14</c:v>
                </c:pt>
                <c:pt idx="600">
                  <c:v>2.23</c:v>
                </c:pt>
                <c:pt idx="601">
                  <c:v>11.48</c:v>
                </c:pt>
                <c:pt idx="602">
                  <c:v>11.47</c:v>
                </c:pt>
                <c:pt idx="603">
                  <c:v>2.2200000000000002</c:v>
                </c:pt>
                <c:pt idx="604">
                  <c:v>11.39</c:v>
                </c:pt>
                <c:pt idx="605">
                  <c:v>-7.31</c:v>
                </c:pt>
                <c:pt idx="606">
                  <c:v>3.49</c:v>
                </c:pt>
                <c:pt idx="607">
                  <c:v>-6.16</c:v>
                </c:pt>
                <c:pt idx="608">
                  <c:v>9.34</c:v>
                </c:pt>
                <c:pt idx="609">
                  <c:v>18.329999999999998</c:v>
                </c:pt>
                <c:pt idx="610">
                  <c:v>17.739999999999998</c:v>
                </c:pt>
                <c:pt idx="611">
                  <c:v>3.46</c:v>
                </c:pt>
                <c:pt idx="612">
                  <c:v>-11.98</c:v>
                </c:pt>
                <c:pt idx="613">
                  <c:v>5.73</c:v>
                </c:pt>
                <c:pt idx="614">
                  <c:v>4.29</c:v>
                </c:pt>
                <c:pt idx="615">
                  <c:v>5.74</c:v>
                </c:pt>
                <c:pt idx="616">
                  <c:v>10.4</c:v>
                </c:pt>
                <c:pt idx="617">
                  <c:v>18.28</c:v>
                </c:pt>
                <c:pt idx="618">
                  <c:v>-12.05</c:v>
                </c:pt>
                <c:pt idx="619">
                  <c:v>-8.57</c:v>
                </c:pt>
                <c:pt idx="620">
                  <c:v>17.7</c:v>
                </c:pt>
                <c:pt idx="621">
                  <c:v>-8.5399999999999991</c:v>
                </c:pt>
                <c:pt idx="622">
                  <c:v>2.95</c:v>
                </c:pt>
                <c:pt idx="623">
                  <c:v>2.99</c:v>
                </c:pt>
                <c:pt idx="624">
                  <c:v>6.38</c:v>
                </c:pt>
                <c:pt idx="625">
                  <c:v>10.35</c:v>
                </c:pt>
                <c:pt idx="626">
                  <c:v>-13.62</c:v>
                </c:pt>
                <c:pt idx="627">
                  <c:v>-13.59</c:v>
                </c:pt>
                <c:pt idx="628">
                  <c:v>11.62</c:v>
                </c:pt>
                <c:pt idx="629">
                  <c:v>3.22</c:v>
                </c:pt>
                <c:pt idx="630">
                  <c:v>11.64</c:v>
                </c:pt>
                <c:pt idx="631">
                  <c:v>3.18</c:v>
                </c:pt>
                <c:pt idx="632">
                  <c:v>11.21</c:v>
                </c:pt>
                <c:pt idx="633">
                  <c:v>17.899999999999999</c:v>
                </c:pt>
                <c:pt idx="634">
                  <c:v>11.49</c:v>
                </c:pt>
                <c:pt idx="635">
                  <c:v>-7.95</c:v>
                </c:pt>
                <c:pt idx="636">
                  <c:v>-8.0399999999999991</c:v>
                </c:pt>
                <c:pt idx="637">
                  <c:v>18.46</c:v>
                </c:pt>
                <c:pt idx="638">
                  <c:v>11.32</c:v>
                </c:pt>
                <c:pt idx="639">
                  <c:v>-8.4</c:v>
                </c:pt>
                <c:pt idx="640">
                  <c:v>11.61</c:v>
                </c:pt>
                <c:pt idx="641">
                  <c:v>-14.42</c:v>
                </c:pt>
                <c:pt idx="642">
                  <c:v>-12.34</c:v>
                </c:pt>
                <c:pt idx="643">
                  <c:v>11.31</c:v>
                </c:pt>
                <c:pt idx="644">
                  <c:v>-14.34</c:v>
                </c:pt>
                <c:pt idx="645">
                  <c:v>-9.26</c:v>
                </c:pt>
                <c:pt idx="646">
                  <c:v>17.850000000000001</c:v>
                </c:pt>
                <c:pt idx="647">
                  <c:v>-9.23</c:v>
                </c:pt>
                <c:pt idx="648">
                  <c:v>18.39</c:v>
                </c:pt>
                <c:pt idx="649">
                  <c:v>-11.89</c:v>
                </c:pt>
                <c:pt idx="650">
                  <c:v>11.42</c:v>
                </c:pt>
                <c:pt idx="651">
                  <c:v>-7.55</c:v>
                </c:pt>
                <c:pt idx="652">
                  <c:v>6.57</c:v>
                </c:pt>
                <c:pt idx="653">
                  <c:v>11.78</c:v>
                </c:pt>
                <c:pt idx="654">
                  <c:v>8.66</c:v>
                </c:pt>
                <c:pt idx="655">
                  <c:v>-14.23</c:v>
                </c:pt>
                <c:pt idx="656">
                  <c:v>11.44</c:v>
                </c:pt>
                <c:pt idx="657">
                  <c:v>-14.47</c:v>
                </c:pt>
                <c:pt idx="658">
                  <c:v>11.8</c:v>
                </c:pt>
                <c:pt idx="659">
                  <c:v>-7.45</c:v>
                </c:pt>
                <c:pt idx="660">
                  <c:v>-14.14</c:v>
                </c:pt>
                <c:pt idx="661">
                  <c:v>7.67</c:v>
                </c:pt>
                <c:pt idx="662">
                  <c:v>3</c:v>
                </c:pt>
                <c:pt idx="663">
                  <c:v>-12.04</c:v>
                </c:pt>
                <c:pt idx="664">
                  <c:v>6.49</c:v>
                </c:pt>
                <c:pt idx="665">
                  <c:v>-14.52</c:v>
                </c:pt>
                <c:pt idx="666">
                  <c:v>-8.74</c:v>
                </c:pt>
                <c:pt idx="667">
                  <c:v>2.96</c:v>
                </c:pt>
                <c:pt idx="668">
                  <c:v>4.59</c:v>
                </c:pt>
                <c:pt idx="669">
                  <c:v>8.7100000000000009</c:v>
                </c:pt>
                <c:pt idx="670">
                  <c:v>-4.84</c:v>
                </c:pt>
                <c:pt idx="671">
                  <c:v>6.5</c:v>
                </c:pt>
                <c:pt idx="672">
                  <c:v>4.57</c:v>
                </c:pt>
                <c:pt idx="673">
                  <c:v>6.49</c:v>
                </c:pt>
                <c:pt idx="674">
                  <c:v>7.59</c:v>
                </c:pt>
                <c:pt idx="675">
                  <c:v>-12.62</c:v>
                </c:pt>
                <c:pt idx="676">
                  <c:v>-8.7200000000000006</c:v>
                </c:pt>
                <c:pt idx="677">
                  <c:v>9.75</c:v>
                </c:pt>
                <c:pt idx="678">
                  <c:v>3.69</c:v>
                </c:pt>
                <c:pt idx="679">
                  <c:v>7.23</c:v>
                </c:pt>
                <c:pt idx="680">
                  <c:v>-4.74</c:v>
                </c:pt>
                <c:pt idx="681">
                  <c:v>3.71</c:v>
                </c:pt>
                <c:pt idx="682">
                  <c:v>7.21</c:v>
                </c:pt>
                <c:pt idx="683">
                  <c:v>-12.71</c:v>
                </c:pt>
                <c:pt idx="684">
                  <c:v>9.6999999999999993</c:v>
                </c:pt>
                <c:pt idx="685">
                  <c:v>12.03</c:v>
                </c:pt>
                <c:pt idx="686">
                  <c:v>-11.39</c:v>
                </c:pt>
                <c:pt idx="687">
                  <c:v>-8.8000000000000007</c:v>
                </c:pt>
                <c:pt idx="688">
                  <c:v>3.78</c:v>
                </c:pt>
                <c:pt idx="689">
                  <c:v>12.18</c:v>
                </c:pt>
                <c:pt idx="690">
                  <c:v>-11.43</c:v>
                </c:pt>
                <c:pt idx="691">
                  <c:v>11.52</c:v>
                </c:pt>
                <c:pt idx="692">
                  <c:v>10.43</c:v>
                </c:pt>
                <c:pt idx="693">
                  <c:v>11.93</c:v>
                </c:pt>
                <c:pt idx="694">
                  <c:v>-9.2799999999999994</c:v>
                </c:pt>
                <c:pt idx="695">
                  <c:v>4.03</c:v>
                </c:pt>
                <c:pt idx="696">
                  <c:v>4.03</c:v>
                </c:pt>
                <c:pt idx="697">
                  <c:v>-14.47</c:v>
                </c:pt>
                <c:pt idx="698">
                  <c:v>-14.49</c:v>
                </c:pt>
                <c:pt idx="699">
                  <c:v>8.75</c:v>
                </c:pt>
                <c:pt idx="700">
                  <c:v>11.56</c:v>
                </c:pt>
                <c:pt idx="701">
                  <c:v>4.9400000000000004</c:v>
                </c:pt>
                <c:pt idx="702">
                  <c:v>11.96</c:v>
                </c:pt>
                <c:pt idx="703">
                  <c:v>-9.2200000000000006</c:v>
                </c:pt>
                <c:pt idx="704">
                  <c:v>8.6999999999999993</c:v>
                </c:pt>
                <c:pt idx="705">
                  <c:v>-8.69</c:v>
                </c:pt>
                <c:pt idx="706">
                  <c:v>4.88</c:v>
                </c:pt>
                <c:pt idx="707">
                  <c:v>6.83</c:v>
                </c:pt>
                <c:pt idx="708">
                  <c:v>-12.98</c:v>
                </c:pt>
                <c:pt idx="709">
                  <c:v>-13.07</c:v>
                </c:pt>
                <c:pt idx="710">
                  <c:v>4.58</c:v>
                </c:pt>
                <c:pt idx="711">
                  <c:v>11.63</c:v>
                </c:pt>
                <c:pt idx="712">
                  <c:v>6.74</c:v>
                </c:pt>
                <c:pt idx="713">
                  <c:v>7.76</c:v>
                </c:pt>
                <c:pt idx="714">
                  <c:v>-10.029999999999999</c:v>
                </c:pt>
                <c:pt idx="715">
                  <c:v>4.57</c:v>
                </c:pt>
                <c:pt idx="716">
                  <c:v>12.08</c:v>
                </c:pt>
                <c:pt idx="717">
                  <c:v>7.37</c:v>
                </c:pt>
                <c:pt idx="718">
                  <c:v>11.55</c:v>
                </c:pt>
                <c:pt idx="719">
                  <c:v>-5.28</c:v>
                </c:pt>
                <c:pt idx="720">
                  <c:v>7.65</c:v>
                </c:pt>
                <c:pt idx="721">
                  <c:v>-9.94</c:v>
                </c:pt>
                <c:pt idx="722">
                  <c:v>7.49</c:v>
                </c:pt>
                <c:pt idx="723">
                  <c:v>11.63</c:v>
                </c:pt>
                <c:pt idx="724">
                  <c:v>4.46</c:v>
                </c:pt>
                <c:pt idx="725">
                  <c:v>4.49</c:v>
                </c:pt>
                <c:pt idx="726">
                  <c:v>-15.34</c:v>
                </c:pt>
                <c:pt idx="727">
                  <c:v>-15.52</c:v>
                </c:pt>
                <c:pt idx="728">
                  <c:v>-5.16</c:v>
                </c:pt>
                <c:pt idx="729">
                  <c:v>-15.44</c:v>
                </c:pt>
                <c:pt idx="730">
                  <c:v>7.48</c:v>
                </c:pt>
                <c:pt idx="731">
                  <c:v>-15.4</c:v>
                </c:pt>
                <c:pt idx="732">
                  <c:v>3.84</c:v>
                </c:pt>
                <c:pt idx="733">
                  <c:v>-13.25</c:v>
                </c:pt>
                <c:pt idx="734">
                  <c:v>7.39</c:v>
                </c:pt>
                <c:pt idx="735">
                  <c:v>12.13</c:v>
                </c:pt>
                <c:pt idx="736">
                  <c:v>11.67</c:v>
                </c:pt>
                <c:pt idx="737">
                  <c:v>3.79</c:v>
                </c:pt>
                <c:pt idx="738">
                  <c:v>5.48</c:v>
                </c:pt>
                <c:pt idx="739">
                  <c:v>-8.59</c:v>
                </c:pt>
                <c:pt idx="740">
                  <c:v>-13.38</c:v>
                </c:pt>
                <c:pt idx="741">
                  <c:v>5.44</c:v>
                </c:pt>
                <c:pt idx="742">
                  <c:v>-2.5</c:v>
                </c:pt>
                <c:pt idx="743">
                  <c:v>-15.25</c:v>
                </c:pt>
                <c:pt idx="744">
                  <c:v>-15.18</c:v>
                </c:pt>
                <c:pt idx="745">
                  <c:v>5.19</c:v>
                </c:pt>
                <c:pt idx="746">
                  <c:v>5.17</c:v>
                </c:pt>
                <c:pt idx="747">
                  <c:v>-15.36</c:v>
                </c:pt>
                <c:pt idx="748">
                  <c:v>7.01</c:v>
                </c:pt>
                <c:pt idx="749">
                  <c:v>-15.37</c:v>
                </c:pt>
                <c:pt idx="750">
                  <c:v>-10.83</c:v>
                </c:pt>
                <c:pt idx="751">
                  <c:v>-10.7</c:v>
                </c:pt>
                <c:pt idx="752">
                  <c:v>11.74</c:v>
                </c:pt>
                <c:pt idx="753">
                  <c:v>11.19</c:v>
                </c:pt>
                <c:pt idx="754">
                  <c:v>6.9</c:v>
                </c:pt>
                <c:pt idx="755">
                  <c:v>8.3800000000000008</c:v>
                </c:pt>
                <c:pt idx="756">
                  <c:v>11.36</c:v>
                </c:pt>
                <c:pt idx="757">
                  <c:v>-9.67</c:v>
                </c:pt>
                <c:pt idx="758">
                  <c:v>11.8</c:v>
                </c:pt>
                <c:pt idx="759">
                  <c:v>10.14</c:v>
                </c:pt>
                <c:pt idx="760">
                  <c:v>11.59</c:v>
                </c:pt>
                <c:pt idx="761">
                  <c:v>8.32</c:v>
                </c:pt>
                <c:pt idx="762">
                  <c:v>-9.65</c:v>
                </c:pt>
                <c:pt idx="763">
                  <c:v>5.23</c:v>
                </c:pt>
                <c:pt idx="764">
                  <c:v>5.26</c:v>
                </c:pt>
                <c:pt idx="765">
                  <c:v>10.24</c:v>
                </c:pt>
                <c:pt idx="766">
                  <c:v>-6.37</c:v>
                </c:pt>
                <c:pt idx="767">
                  <c:v>11.15</c:v>
                </c:pt>
                <c:pt idx="768">
                  <c:v>-12.69</c:v>
                </c:pt>
                <c:pt idx="769">
                  <c:v>-6.23</c:v>
                </c:pt>
                <c:pt idx="770">
                  <c:v>11.05</c:v>
                </c:pt>
                <c:pt idx="771">
                  <c:v>-13.9</c:v>
                </c:pt>
                <c:pt idx="772">
                  <c:v>10</c:v>
                </c:pt>
                <c:pt idx="773">
                  <c:v>-16.22</c:v>
                </c:pt>
                <c:pt idx="774">
                  <c:v>5.83</c:v>
                </c:pt>
                <c:pt idx="775">
                  <c:v>-12.57</c:v>
                </c:pt>
                <c:pt idx="776">
                  <c:v>-16.27</c:v>
                </c:pt>
                <c:pt idx="777">
                  <c:v>4.75</c:v>
                </c:pt>
                <c:pt idx="778">
                  <c:v>5.81</c:v>
                </c:pt>
                <c:pt idx="779">
                  <c:v>9.91</c:v>
                </c:pt>
                <c:pt idx="780">
                  <c:v>-14.05</c:v>
                </c:pt>
                <c:pt idx="781">
                  <c:v>-3.49</c:v>
                </c:pt>
                <c:pt idx="782">
                  <c:v>4.71</c:v>
                </c:pt>
                <c:pt idx="783">
                  <c:v>-3.44</c:v>
                </c:pt>
                <c:pt idx="784">
                  <c:v>-9.31</c:v>
                </c:pt>
                <c:pt idx="785">
                  <c:v>-11.49</c:v>
                </c:pt>
                <c:pt idx="786">
                  <c:v>-4.43</c:v>
                </c:pt>
                <c:pt idx="787">
                  <c:v>-9.36</c:v>
                </c:pt>
                <c:pt idx="788">
                  <c:v>-14.39</c:v>
                </c:pt>
                <c:pt idx="789">
                  <c:v>-16.61</c:v>
                </c:pt>
                <c:pt idx="790">
                  <c:v>-14.31</c:v>
                </c:pt>
                <c:pt idx="791">
                  <c:v>12.97</c:v>
                </c:pt>
                <c:pt idx="792">
                  <c:v>-4.3600000000000003</c:v>
                </c:pt>
                <c:pt idx="793">
                  <c:v>-16.53</c:v>
                </c:pt>
                <c:pt idx="794">
                  <c:v>12.86</c:v>
                </c:pt>
                <c:pt idx="795">
                  <c:v>6.57</c:v>
                </c:pt>
                <c:pt idx="796">
                  <c:v>-11.69</c:v>
                </c:pt>
                <c:pt idx="797">
                  <c:v>-16.329999999999998</c:v>
                </c:pt>
                <c:pt idx="798">
                  <c:v>6.5</c:v>
                </c:pt>
                <c:pt idx="799">
                  <c:v>-16.260000000000002</c:v>
                </c:pt>
                <c:pt idx="800">
                  <c:v>6.48</c:v>
                </c:pt>
                <c:pt idx="801">
                  <c:v>6.45</c:v>
                </c:pt>
                <c:pt idx="802">
                  <c:v>-8.14</c:v>
                </c:pt>
                <c:pt idx="803">
                  <c:v>-5.33</c:v>
                </c:pt>
                <c:pt idx="804">
                  <c:v>-8.27</c:v>
                </c:pt>
                <c:pt idx="805">
                  <c:v>-5.47</c:v>
                </c:pt>
                <c:pt idx="806">
                  <c:v>5.71</c:v>
                </c:pt>
                <c:pt idx="807">
                  <c:v>5.65</c:v>
                </c:pt>
                <c:pt idx="808">
                  <c:v>9.67</c:v>
                </c:pt>
                <c:pt idx="809">
                  <c:v>9.57</c:v>
                </c:pt>
                <c:pt idx="810">
                  <c:v>11.77</c:v>
                </c:pt>
                <c:pt idx="811">
                  <c:v>-14</c:v>
                </c:pt>
                <c:pt idx="812">
                  <c:v>12.66</c:v>
                </c:pt>
                <c:pt idx="813">
                  <c:v>11.28</c:v>
                </c:pt>
                <c:pt idx="814">
                  <c:v>-17.71</c:v>
                </c:pt>
                <c:pt idx="815">
                  <c:v>-17.63</c:v>
                </c:pt>
                <c:pt idx="816">
                  <c:v>-7.89</c:v>
                </c:pt>
                <c:pt idx="817">
                  <c:v>-13.83</c:v>
                </c:pt>
                <c:pt idx="818">
                  <c:v>11.91</c:v>
                </c:pt>
                <c:pt idx="819">
                  <c:v>11.17</c:v>
                </c:pt>
                <c:pt idx="820">
                  <c:v>12.51</c:v>
                </c:pt>
                <c:pt idx="821">
                  <c:v>7.77</c:v>
                </c:pt>
                <c:pt idx="822">
                  <c:v>-7.72</c:v>
                </c:pt>
                <c:pt idx="823">
                  <c:v>-4.78</c:v>
                </c:pt>
                <c:pt idx="824">
                  <c:v>14.31</c:v>
                </c:pt>
                <c:pt idx="825">
                  <c:v>-10.7</c:v>
                </c:pt>
                <c:pt idx="826">
                  <c:v>-15.71</c:v>
                </c:pt>
                <c:pt idx="827">
                  <c:v>7.68</c:v>
                </c:pt>
                <c:pt idx="828">
                  <c:v>-10.68</c:v>
                </c:pt>
                <c:pt idx="829">
                  <c:v>-4.9000000000000004</c:v>
                </c:pt>
                <c:pt idx="830">
                  <c:v>-15.64</c:v>
                </c:pt>
                <c:pt idx="831">
                  <c:v>14.16</c:v>
                </c:pt>
                <c:pt idx="832">
                  <c:v>11.19</c:v>
                </c:pt>
                <c:pt idx="833">
                  <c:v>8.98</c:v>
                </c:pt>
                <c:pt idx="834">
                  <c:v>12.57</c:v>
                </c:pt>
                <c:pt idx="835">
                  <c:v>11.04</c:v>
                </c:pt>
                <c:pt idx="836">
                  <c:v>8.86</c:v>
                </c:pt>
                <c:pt idx="837">
                  <c:v>14.3</c:v>
                </c:pt>
                <c:pt idx="838">
                  <c:v>12.42</c:v>
                </c:pt>
                <c:pt idx="839">
                  <c:v>13.47</c:v>
                </c:pt>
                <c:pt idx="840">
                  <c:v>-9.42</c:v>
                </c:pt>
                <c:pt idx="841">
                  <c:v>-17.03</c:v>
                </c:pt>
                <c:pt idx="842">
                  <c:v>14.11</c:v>
                </c:pt>
                <c:pt idx="843">
                  <c:v>-6.25</c:v>
                </c:pt>
                <c:pt idx="844">
                  <c:v>13.65</c:v>
                </c:pt>
                <c:pt idx="845">
                  <c:v>-16.97</c:v>
                </c:pt>
                <c:pt idx="846">
                  <c:v>-12.06</c:v>
                </c:pt>
                <c:pt idx="847">
                  <c:v>-9.2100000000000009</c:v>
                </c:pt>
                <c:pt idx="848">
                  <c:v>-6.41</c:v>
                </c:pt>
                <c:pt idx="849">
                  <c:v>-12.04</c:v>
                </c:pt>
                <c:pt idx="850">
                  <c:v>20.97</c:v>
                </c:pt>
                <c:pt idx="851">
                  <c:v>24.1</c:v>
                </c:pt>
                <c:pt idx="852">
                  <c:v>24.15</c:v>
                </c:pt>
                <c:pt idx="853">
                  <c:v>21.13</c:v>
                </c:pt>
                <c:pt idx="854">
                  <c:v>21.27</c:v>
                </c:pt>
                <c:pt idx="855">
                  <c:v>10.68</c:v>
                </c:pt>
                <c:pt idx="856">
                  <c:v>10.88</c:v>
                </c:pt>
                <c:pt idx="857">
                  <c:v>12.81</c:v>
                </c:pt>
                <c:pt idx="858">
                  <c:v>21.36</c:v>
                </c:pt>
                <c:pt idx="859">
                  <c:v>21.58</c:v>
                </c:pt>
                <c:pt idx="860">
                  <c:v>12.62</c:v>
                </c:pt>
                <c:pt idx="861">
                  <c:v>21.61</c:v>
                </c:pt>
                <c:pt idx="862">
                  <c:v>-18.350000000000001</c:v>
                </c:pt>
                <c:pt idx="863">
                  <c:v>21.88</c:v>
                </c:pt>
                <c:pt idx="864">
                  <c:v>-18.3</c:v>
                </c:pt>
                <c:pt idx="865">
                  <c:v>-7.86</c:v>
                </c:pt>
                <c:pt idx="866">
                  <c:v>-13.41</c:v>
                </c:pt>
                <c:pt idx="867">
                  <c:v>21.89</c:v>
                </c:pt>
                <c:pt idx="868">
                  <c:v>-5.65</c:v>
                </c:pt>
                <c:pt idx="869">
                  <c:v>-13.61</c:v>
                </c:pt>
                <c:pt idx="870">
                  <c:v>-8.06</c:v>
                </c:pt>
                <c:pt idx="871">
                  <c:v>22.19</c:v>
                </c:pt>
                <c:pt idx="872">
                  <c:v>22.18</c:v>
                </c:pt>
                <c:pt idx="873">
                  <c:v>-5.81</c:v>
                </c:pt>
                <c:pt idx="874">
                  <c:v>-5.81</c:v>
                </c:pt>
                <c:pt idx="875">
                  <c:v>22.5</c:v>
                </c:pt>
                <c:pt idx="876">
                  <c:v>-6.24</c:v>
                </c:pt>
                <c:pt idx="877">
                  <c:v>-6.22</c:v>
                </c:pt>
                <c:pt idx="878">
                  <c:v>-6.86</c:v>
                </c:pt>
                <c:pt idx="879">
                  <c:v>-6.83</c:v>
                </c:pt>
                <c:pt idx="880">
                  <c:v>-7.58</c:v>
                </c:pt>
                <c:pt idx="881">
                  <c:v>-7.5</c:v>
                </c:pt>
                <c:pt idx="882">
                  <c:v>-8.31</c:v>
                </c:pt>
                <c:pt idx="883">
                  <c:v>-15.05</c:v>
                </c:pt>
                <c:pt idx="884">
                  <c:v>-8.17</c:v>
                </c:pt>
                <c:pt idx="885">
                  <c:v>-9.4600000000000009</c:v>
                </c:pt>
                <c:pt idx="886">
                  <c:v>-15.28</c:v>
                </c:pt>
                <c:pt idx="887">
                  <c:v>-9.7100000000000009</c:v>
                </c:pt>
                <c:pt idx="888">
                  <c:v>45.91</c:v>
                </c:pt>
                <c:pt idx="889">
                  <c:v>46.3</c:v>
                </c:pt>
                <c:pt idx="890">
                  <c:v>46.32</c:v>
                </c:pt>
                <c:pt idx="891">
                  <c:v>20.96</c:v>
                </c:pt>
                <c:pt idx="892">
                  <c:v>46.7</c:v>
                </c:pt>
                <c:pt idx="893">
                  <c:v>46.73</c:v>
                </c:pt>
                <c:pt idx="894">
                  <c:v>21</c:v>
                </c:pt>
                <c:pt idx="895">
                  <c:v>21.1</c:v>
                </c:pt>
                <c:pt idx="896">
                  <c:v>47.1</c:v>
                </c:pt>
                <c:pt idx="897">
                  <c:v>47.15</c:v>
                </c:pt>
                <c:pt idx="898">
                  <c:v>21.05</c:v>
                </c:pt>
                <c:pt idx="899">
                  <c:v>21.24</c:v>
                </c:pt>
                <c:pt idx="900">
                  <c:v>47.5</c:v>
                </c:pt>
                <c:pt idx="901">
                  <c:v>47.57</c:v>
                </c:pt>
                <c:pt idx="902">
                  <c:v>21.13</c:v>
                </c:pt>
                <c:pt idx="903">
                  <c:v>21.38</c:v>
                </c:pt>
                <c:pt idx="904">
                  <c:v>47.91</c:v>
                </c:pt>
                <c:pt idx="905">
                  <c:v>47.99</c:v>
                </c:pt>
                <c:pt idx="906">
                  <c:v>21.21</c:v>
                </c:pt>
                <c:pt idx="907">
                  <c:v>21.51</c:v>
                </c:pt>
                <c:pt idx="908">
                  <c:v>21.29</c:v>
                </c:pt>
                <c:pt idx="909">
                  <c:v>21.65</c:v>
                </c:pt>
                <c:pt idx="910">
                  <c:v>6.42</c:v>
                </c:pt>
                <c:pt idx="911">
                  <c:v>6.43</c:v>
                </c:pt>
                <c:pt idx="912">
                  <c:v>-45.74</c:v>
                </c:pt>
                <c:pt idx="913">
                  <c:v>-45.75</c:v>
                </c:pt>
                <c:pt idx="914">
                  <c:v>11.32</c:v>
                </c:pt>
                <c:pt idx="915">
                  <c:v>11.48</c:v>
                </c:pt>
                <c:pt idx="916">
                  <c:v>11.48</c:v>
                </c:pt>
                <c:pt idx="917">
                  <c:v>11.64</c:v>
                </c:pt>
                <c:pt idx="918">
                  <c:v>11.64</c:v>
                </c:pt>
                <c:pt idx="919">
                  <c:v>11.8</c:v>
                </c:pt>
                <c:pt idx="920">
                  <c:v>11.81</c:v>
                </c:pt>
                <c:pt idx="921">
                  <c:v>-90.57</c:v>
                </c:pt>
                <c:pt idx="922">
                  <c:v>12</c:v>
                </c:pt>
                <c:pt idx="923">
                  <c:v>12.01</c:v>
                </c:pt>
                <c:pt idx="924">
                  <c:v>-90.73</c:v>
                </c:pt>
                <c:pt idx="925">
                  <c:v>-90.73</c:v>
                </c:pt>
                <c:pt idx="926">
                  <c:v>12.48</c:v>
                </c:pt>
                <c:pt idx="927">
                  <c:v>12.5</c:v>
                </c:pt>
                <c:pt idx="928">
                  <c:v>-90.88</c:v>
                </c:pt>
                <c:pt idx="929">
                  <c:v>-90.89</c:v>
                </c:pt>
                <c:pt idx="930">
                  <c:v>-91.04</c:v>
                </c:pt>
                <c:pt idx="931">
                  <c:v>-91.05</c:v>
                </c:pt>
                <c:pt idx="932">
                  <c:v>-91.2</c:v>
                </c:pt>
                <c:pt idx="933">
                  <c:v>-91.22</c:v>
                </c:pt>
                <c:pt idx="934">
                  <c:v>-91.36</c:v>
                </c:pt>
                <c:pt idx="935">
                  <c:v>-91.38</c:v>
                </c:pt>
              </c:numCache>
            </c:numRef>
          </c:xVal>
          <c:yVal>
            <c:numRef>
              <c:f>'Hasil P2 Kuat I'!$M$2:$M$937</c:f>
              <c:numCache>
                <c:formatCode>General</c:formatCode>
                <c:ptCount val="936"/>
                <c:pt idx="0">
                  <c:v>216.62</c:v>
                </c:pt>
                <c:pt idx="1">
                  <c:v>217.11</c:v>
                </c:pt>
                <c:pt idx="2">
                  <c:v>210.3</c:v>
                </c:pt>
                <c:pt idx="3">
                  <c:v>210.71</c:v>
                </c:pt>
                <c:pt idx="4">
                  <c:v>203.99</c:v>
                </c:pt>
                <c:pt idx="5">
                  <c:v>204.32</c:v>
                </c:pt>
                <c:pt idx="6">
                  <c:v>197.68</c:v>
                </c:pt>
                <c:pt idx="7">
                  <c:v>197.93</c:v>
                </c:pt>
                <c:pt idx="8">
                  <c:v>209.52</c:v>
                </c:pt>
                <c:pt idx="9">
                  <c:v>210.01</c:v>
                </c:pt>
                <c:pt idx="10">
                  <c:v>191.38</c:v>
                </c:pt>
                <c:pt idx="11">
                  <c:v>191.55</c:v>
                </c:pt>
                <c:pt idx="12">
                  <c:v>203.2</c:v>
                </c:pt>
                <c:pt idx="13">
                  <c:v>203.61</c:v>
                </c:pt>
                <c:pt idx="14">
                  <c:v>185.25</c:v>
                </c:pt>
                <c:pt idx="15">
                  <c:v>196.89</c:v>
                </c:pt>
                <c:pt idx="16">
                  <c:v>197.22</c:v>
                </c:pt>
                <c:pt idx="17">
                  <c:v>190.58</c:v>
                </c:pt>
                <c:pt idx="18">
                  <c:v>190.83</c:v>
                </c:pt>
                <c:pt idx="19">
                  <c:v>184.28</c:v>
                </c:pt>
                <c:pt idx="20">
                  <c:v>184.45</c:v>
                </c:pt>
                <c:pt idx="21">
                  <c:v>178.15</c:v>
                </c:pt>
                <c:pt idx="22">
                  <c:v>110.68</c:v>
                </c:pt>
                <c:pt idx="23">
                  <c:v>110.95</c:v>
                </c:pt>
                <c:pt idx="24">
                  <c:v>107.13</c:v>
                </c:pt>
                <c:pt idx="25">
                  <c:v>107.4</c:v>
                </c:pt>
                <c:pt idx="26">
                  <c:v>982.19</c:v>
                </c:pt>
                <c:pt idx="27">
                  <c:v>985.44</c:v>
                </c:pt>
                <c:pt idx="28">
                  <c:v>971.56</c:v>
                </c:pt>
                <c:pt idx="29">
                  <c:v>974.23</c:v>
                </c:pt>
                <c:pt idx="30">
                  <c:v>989.29</c:v>
                </c:pt>
                <c:pt idx="31">
                  <c:v>992.54</c:v>
                </c:pt>
                <c:pt idx="32">
                  <c:v>960.95</c:v>
                </c:pt>
                <c:pt idx="33">
                  <c:v>963.04</c:v>
                </c:pt>
                <c:pt idx="34">
                  <c:v>978.66</c:v>
                </c:pt>
                <c:pt idx="35">
                  <c:v>981.33</c:v>
                </c:pt>
                <c:pt idx="36">
                  <c:v>950.34</c:v>
                </c:pt>
                <c:pt idx="37">
                  <c:v>951.85</c:v>
                </c:pt>
                <c:pt idx="38">
                  <c:v>968.05</c:v>
                </c:pt>
                <c:pt idx="39">
                  <c:v>970.14</c:v>
                </c:pt>
                <c:pt idx="40">
                  <c:v>939.77</c:v>
                </c:pt>
                <c:pt idx="41">
                  <c:v>940.67</c:v>
                </c:pt>
                <c:pt idx="42">
                  <c:v>957.44</c:v>
                </c:pt>
                <c:pt idx="43">
                  <c:v>958.95</c:v>
                </c:pt>
                <c:pt idx="44">
                  <c:v>929.56</c:v>
                </c:pt>
                <c:pt idx="45">
                  <c:v>946.87</c:v>
                </c:pt>
                <c:pt idx="46">
                  <c:v>947.77</c:v>
                </c:pt>
                <c:pt idx="47">
                  <c:v>936.66</c:v>
                </c:pt>
                <c:pt idx="48">
                  <c:v>-174.95</c:v>
                </c:pt>
                <c:pt idx="49">
                  <c:v>-176.03</c:v>
                </c:pt>
                <c:pt idx="50">
                  <c:v>58.6</c:v>
                </c:pt>
                <c:pt idx="51">
                  <c:v>860.06</c:v>
                </c:pt>
                <c:pt idx="52">
                  <c:v>60.36</c:v>
                </c:pt>
                <c:pt idx="53">
                  <c:v>857.01</c:v>
                </c:pt>
                <c:pt idx="54">
                  <c:v>850.54</c:v>
                </c:pt>
                <c:pt idx="55">
                  <c:v>847.96</c:v>
                </c:pt>
                <c:pt idx="56">
                  <c:v>841.03</c:v>
                </c:pt>
                <c:pt idx="57">
                  <c:v>838.92</c:v>
                </c:pt>
                <c:pt idx="58">
                  <c:v>831.52</c:v>
                </c:pt>
                <c:pt idx="59">
                  <c:v>829.98</c:v>
                </c:pt>
                <c:pt idx="60">
                  <c:v>866.86</c:v>
                </c:pt>
                <c:pt idx="61">
                  <c:v>-174.58</c:v>
                </c:pt>
                <c:pt idx="62">
                  <c:v>822.01</c:v>
                </c:pt>
                <c:pt idx="63">
                  <c:v>821.08</c:v>
                </c:pt>
                <c:pt idx="64">
                  <c:v>863.81</c:v>
                </c:pt>
                <c:pt idx="65">
                  <c:v>-175.46</c:v>
                </c:pt>
                <c:pt idx="66">
                  <c:v>857.35</c:v>
                </c:pt>
                <c:pt idx="67">
                  <c:v>812.55</c:v>
                </c:pt>
                <c:pt idx="68">
                  <c:v>56.13</c:v>
                </c:pt>
                <c:pt idx="69">
                  <c:v>854.77</c:v>
                </c:pt>
                <c:pt idx="70">
                  <c:v>847.83</c:v>
                </c:pt>
                <c:pt idx="71">
                  <c:v>57.25</c:v>
                </c:pt>
                <c:pt idx="72">
                  <c:v>845.73</c:v>
                </c:pt>
                <c:pt idx="73">
                  <c:v>838.32</c:v>
                </c:pt>
                <c:pt idx="74">
                  <c:v>836.79</c:v>
                </c:pt>
                <c:pt idx="75">
                  <c:v>495.08</c:v>
                </c:pt>
                <c:pt idx="76">
                  <c:v>262.67</c:v>
                </c:pt>
                <c:pt idx="77">
                  <c:v>496.92</c:v>
                </c:pt>
                <c:pt idx="78">
                  <c:v>264.23</c:v>
                </c:pt>
                <c:pt idx="79">
                  <c:v>828.82</c:v>
                </c:pt>
                <c:pt idx="80">
                  <c:v>827.89</c:v>
                </c:pt>
                <c:pt idx="81">
                  <c:v>498.63</c:v>
                </c:pt>
                <c:pt idx="82">
                  <c:v>500.47</c:v>
                </c:pt>
                <c:pt idx="83">
                  <c:v>819.35</c:v>
                </c:pt>
                <c:pt idx="84">
                  <c:v>-330.76</c:v>
                </c:pt>
                <c:pt idx="85">
                  <c:v>-174.21</c:v>
                </c:pt>
                <c:pt idx="86">
                  <c:v>-174.89</c:v>
                </c:pt>
                <c:pt idx="87">
                  <c:v>-175.55</c:v>
                </c:pt>
                <c:pt idx="88">
                  <c:v>-331.99</c:v>
                </c:pt>
                <c:pt idx="89">
                  <c:v>-176.62</c:v>
                </c:pt>
                <c:pt idx="90">
                  <c:v>53.65</c:v>
                </c:pt>
                <c:pt idx="91">
                  <c:v>56.84</c:v>
                </c:pt>
                <c:pt idx="92">
                  <c:v>54.57</c:v>
                </c:pt>
                <c:pt idx="93">
                  <c:v>-402.3</c:v>
                </c:pt>
                <c:pt idx="94">
                  <c:v>58.6</c:v>
                </c:pt>
                <c:pt idx="95">
                  <c:v>-401.22</c:v>
                </c:pt>
                <c:pt idx="96">
                  <c:v>257.43</c:v>
                </c:pt>
                <c:pt idx="97">
                  <c:v>-418.11</c:v>
                </c:pt>
                <c:pt idx="98">
                  <c:v>258.97000000000003</c:v>
                </c:pt>
                <c:pt idx="99">
                  <c:v>-417.24</c:v>
                </c:pt>
                <c:pt idx="100">
                  <c:v>-325.52999999999997</c:v>
                </c:pt>
                <c:pt idx="101">
                  <c:v>-324.26</c:v>
                </c:pt>
                <c:pt idx="102">
                  <c:v>-411.87</c:v>
                </c:pt>
                <c:pt idx="103">
                  <c:v>-329.91</c:v>
                </c:pt>
                <c:pt idx="104">
                  <c:v>-173.83</c:v>
                </c:pt>
                <c:pt idx="105">
                  <c:v>-412.89</c:v>
                </c:pt>
                <c:pt idx="106">
                  <c:v>-174.32</c:v>
                </c:pt>
                <c:pt idx="107">
                  <c:v>-331.02</c:v>
                </c:pt>
                <c:pt idx="108">
                  <c:v>-175.18</c:v>
                </c:pt>
                <c:pt idx="109">
                  <c:v>-400.98</c:v>
                </c:pt>
                <c:pt idx="110">
                  <c:v>-176.06</c:v>
                </c:pt>
                <c:pt idx="111">
                  <c:v>51.2</c:v>
                </c:pt>
                <c:pt idx="112">
                  <c:v>-416.5</c:v>
                </c:pt>
                <c:pt idx="113">
                  <c:v>-400.02</c:v>
                </c:pt>
                <c:pt idx="114">
                  <c:v>51.9</c:v>
                </c:pt>
                <c:pt idx="115">
                  <c:v>54.36</c:v>
                </c:pt>
                <c:pt idx="116">
                  <c:v>441.23</c:v>
                </c:pt>
                <c:pt idx="117">
                  <c:v>-415.76</c:v>
                </c:pt>
                <c:pt idx="118">
                  <c:v>442.66</c:v>
                </c:pt>
                <c:pt idx="119">
                  <c:v>252.2</c:v>
                </c:pt>
                <c:pt idx="120">
                  <c:v>55.48</c:v>
                </c:pt>
                <c:pt idx="121">
                  <c:v>253.73</c:v>
                </c:pt>
                <c:pt idx="122">
                  <c:v>259.77999999999997</c:v>
                </c:pt>
                <c:pt idx="123">
                  <c:v>261.33999999999997</c:v>
                </c:pt>
                <c:pt idx="124">
                  <c:v>-87.62</c:v>
                </c:pt>
                <c:pt idx="125">
                  <c:v>-88.23</c:v>
                </c:pt>
                <c:pt idx="126">
                  <c:v>-324.55</c:v>
                </c:pt>
                <c:pt idx="127">
                  <c:v>-393.57</c:v>
                </c:pt>
                <c:pt idx="128">
                  <c:v>30.7</c:v>
                </c:pt>
                <c:pt idx="129">
                  <c:v>-410.67</c:v>
                </c:pt>
                <c:pt idx="130">
                  <c:v>-392.91</c:v>
                </c:pt>
                <c:pt idx="131">
                  <c:v>-323.39999999999998</c:v>
                </c:pt>
                <c:pt idx="132">
                  <c:v>31.63</c:v>
                </c:pt>
                <c:pt idx="133">
                  <c:v>441.5</c:v>
                </c:pt>
                <c:pt idx="134">
                  <c:v>-411.56</c:v>
                </c:pt>
                <c:pt idx="135">
                  <c:v>439.59</c:v>
                </c:pt>
                <c:pt idx="136">
                  <c:v>-329.06</c:v>
                </c:pt>
                <c:pt idx="137">
                  <c:v>-173.73</c:v>
                </c:pt>
                <c:pt idx="138">
                  <c:v>-173.44</c:v>
                </c:pt>
                <c:pt idx="139">
                  <c:v>-414.89</c:v>
                </c:pt>
                <c:pt idx="140">
                  <c:v>-330.05</c:v>
                </c:pt>
                <c:pt idx="141">
                  <c:v>434.54</c:v>
                </c:pt>
                <c:pt idx="142">
                  <c:v>-414.27</c:v>
                </c:pt>
                <c:pt idx="143">
                  <c:v>-399.64</c:v>
                </c:pt>
                <c:pt idx="144">
                  <c:v>436.13</c:v>
                </c:pt>
                <c:pt idx="145">
                  <c:v>-326.38</c:v>
                </c:pt>
                <c:pt idx="146">
                  <c:v>-326.08</c:v>
                </c:pt>
                <c:pt idx="147">
                  <c:v>433.6</c:v>
                </c:pt>
                <c:pt idx="148">
                  <c:v>773.04</c:v>
                </c:pt>
                <c:pt idx="149">
                  <c:v>-398.81</c:v>
                </c:pt>
                <c:pt idx="150">
                  <c:v>-174.8</c:v>
                </c:pt>
                <c:pt idx="151">
                  <c:v>431.9</c:v>
                </c:pt>
                <c:pt idx="152">
                  <c:v>685.22</c:v>
                </c:pt>
                <c:pt idx="153">
                  <c:v>49.24</c:v>
                </c:pt>
                <c:pt idx="154">
                  <c:v>48.82</c:v>
                </c:pt>
                <c:pt idx="155">
                  <c:v>-175.49</c:v>
                </c:pt>
                <c:pt idx="156">
                  <c:v>579.03</c:v>
                </c:pt>
                <c:pt idx="157">
                  <c:v>775.24</c:v>
                </c:pt>
                <c:pt idx="158">
                  <c:v>685.92</c:v>
                </c:pt>
                <c:pt idx="159">
                  <c:v>580.35</c:v>
                </c:pt>
                <c:pt idx="160">
                  <c:v>246.98</c:v>
                </c:pt>
                <c:pt idx="161">
                  <c:v>51.89</c:v>
                </c:pt>
                <c:pt idx="162">
                  <c:v>248.49</c:v>
                </c:pt>
                <c:pt idx="163">
                  <c:v>-391.78</c:v>
                </c:pt>
                <c:pt idx="164">
                  <c:v>-423.48</c:v>
                </c:pt>
                <c:pt idx="165">
                  <c:v>52.81</c:v>
                </c:pt>
                <c:pt idx="166">
                  <c:v>-391.22</c:v>
                </c:pt>
                <c:pt idx="167">
                  <c:v>-324.45</c:v>
                </c:pt>
                <c:pt idx="168">
                  <c:v>-272.76</c:v>
                </c:pt>
                <c:pt idx="169">
                  <c:v>-324.2</c:v>
                </c:pt>
                <c:pt idx="170">
                  <c:v>437</c:v>
                </c:pt>
                <c:pt idx="171">
                  <c:v>-424.27</c:v>
                </c:pt>
                <c:pt idx="172">
                  <c:v>254.55</c:v>
                </c:pt>
                <c:pt idx="173">
                  <c:v>-361.47</c:v>
                </c:pt>
                <c:pt idx="174">
                  <c:v>-173.13</c:v>
                </c:pt>
                <c:pt idx="175">
                  <c:v>-361.05</c:v>
                </c:pt>
                <c:pt idx="176">
                  <c:v>-154.78</c:v>
                </c:pt>
                <c:pt idx="177">
                  <c:v>-272.51</c:v>
                </c:pt>
                <c:pt idx="178">
                  <c:v>-420.99</c:v>
                </c:pt>
                <c:pt idx="179">
                  <c:v>435.3</c:v>
                </c:pt>
                <c:pt idx="180">
                  <c:v>256.08999999999997</c:v>
                </c:pt>
                <c:pt idx="181">
                  <c:v>133.30000000000001</c:v>
                </c:pt>
                <c:pt idx="182">
                  <c:v>582.74</c:v>
                </c:pt>
                <c:pt idx="183">
                  <c:v>134.08000000000001</c:v>
                </c:pt>
                <c:pt idx="184">
                  <c:v>581.41999999999996</c:v>
                </c:pt>
                <c:pt idx="185">
                  <c:v>434.93</c:v>
                </c:pt>
                <c:pt idx="186">
                  <c:v>765.5</c:v>
                </c:pt>
                <c:pt idx="187">
                  <c:v>433.01</c:v>
                </c:pt>
                <c:pt idx="188">
                  <c:v>-155.88999999999999</c:v>
                </c:pt>
                <c:pt idx="189">
                  <c:v>767.18</c:v>
                </c:pt>
                <c:pt idx="190">
                  <c:v>-165.7</c:v>
                </c:pt>
                <c:pt idx="191">
                  <c:v>-409.46</c:v>
                </c:pt>
                <c:pt idx="192">
                  <c:v>678.74</c:v>
                </c:pt>
                <c:pt idx="193">
                  <c:v>-87.91</c:v>
                </c:pt>
                <c:pt idx="194">
                  <c:v>-323.57</c:v>
                </c:pt>
                <c:pt idx="195">
                  <c:v>-413.31</c:v>
                </c:pt>
                <c:pt idx="196">
                  <c:v>-270.75</c:v>
                </c:pt>
                <c:pt idx="197">
                  <c:v>427.85</c:v>
                </c:pt>
                <c:pt idx="198">
                  <c:v>-412.77</c:v>
                </c:pt>
                <c:pt idx="199">
                  <c:v>-410.23</c:v>
                </c:pt>
                <c:pt idx="200">
                  <c:v>429.62</c:v>
                </c:pt>
                <c:pt idx="201">
                  <c:v>-166.36</c:v>
                </c:pt>
                <c:pt idx="202">
                  <c:v>679.24</c:v>
                </c:pt>
                <c:pt idx="203">
                  <c:v>-322.61</c:v>
                </c:pt>
                <c:pt idx="204">
                  <c:v>46.62</c:v>
                </c:pt>
                <c:pt idx="205">
                  <c:v>-88.52</c:v>
                </c:pt>
                <c:pt idx="206">
                  <c:v>-322.54000000000002</c:v>
                </c:pt>
                <c:pt idx="207">
                  <c:v>-322.32</c:v>
                </c:pt>
                <c:pt idx="208">
                  <c:v>-152.77000000000001</c:v>
                </c:pt>
                <c:pt idx="209">
                  <c:v>571.22</c:v>
                </c:pt>
                <c:pt idx="210">
                  <c:v>-270.56</c:v>
                </c:pt>
                <c:pt idx="211">
                  <c:v>572.54999999999995</c:v>
                </c:pt>
                <c:pt idx="212">
                  <c:v>29.82</c:v>
                </c:pt>
                <c:pt idx="213">
                  <c:v>-328.21</c:v>
                </c:pt>
                <c:pt idx="214">
                  <c:v>-153.80000000000001</c:v>
                </c:pt>
                <c:pt idx="215">
                  <c:v>-398.31</c:v>
                </c:pt>
                <c:pt idx="216">
                  <c:v>-329.08</c:v>
                </c:pt>
                <c:pt idx="217">
                  <c:v>30.75</c:v>
                </c:pt>
                <c:pt idx="218">
                  <c:v>-201.65</c:v>
                </c:pt>
                <c:pt idx="219">
                  <c:v>-396.88</c:v>
                </c:pt>
                <c:pt idx="220">
                  <c:v>-359.61</c:v>
                </c:pt>
                <c:pt idx="221">
                  <c:v>-359.25</c:v>
                </c:pt>
                <c:pt idx="222">
                  <c:v>-397.6</c:v>
                </c:pt>
                <c:pt idx="223">
                  <c:v>-390.03</c:v>
                </c:pt>
                <c:pt idx="224">
                  <c:v>759.17</c:v>
                </c:pt>
                <c:pt idx="225">
                  <c:v>-397.47</c:v>
                </c:pt>
                <c:pt idx="226">
                  <c:v>-389.54</c:v>
                </c:pt>
                <c:pt idx="227">
                  <c:v>-201.06</c:v>
                </c:pt>
                <c:pt idx="228">
                  <c:v>757.97</c:v>
                </c:pt>
                <c:pt idx="229">
                  <c:v>-209.65</c:v>
                </c:pt>
                <c:pt idx="230">
                  <c:v>-268.8</c:v>
                </c:pt>
                <c:pt idx="231">
                  <c:v>-163.13</c:v>
                </c:pt>
                <c:pt idx="232">
                  <c:v>-422</c:v>
                </c:pt>
                <c:pt idx="233">
                  <c:v>-150.80000000000001</c:v>
                </c:pt>
                <c:pt idx="234">
                  <c:v>-209.18</c:v>
                </c:pt>
                <c:pt idx="235">
                  <c:v>-320.76</c:v>
                </c:pt>
                <c:pt idx="236">
                  <c:v>779.37</c:v>
                </c:pt>
                <c:pt idx="237">
                  <c:v>-174.42</c:v>
                </c:pt>
                <c:pt idx="238">
                  <c:v>243.76</c:v>
                </c:pt>
                <c:pt idx="239">
                  <c:v>-268.61</c:v>
                </c:pt>
                <c:pt idx="240">
                  <c:v>243.47</c:v>
                </c:pt>
                <c:pt idx="241">
                  <c:v>-151.72</c:v>
                </c:pt>
                <c:pt idx="242">
                  <c:v>-320.43</c:v>
                </c:pt>
                <c:pt idx="243">
                  <c:v>574.9</c:v>
                </c:pt>
                <c:pt idx="244">
                  <c:v>573.58000000000004</c:v>
                </c:pt>
                <c:pt idx="245">
                  <c:v>-162.44999999999999</c:v>
                </c:pt>
                <c:pt idx="246">
                  <c:v>-422.67</c:v>
                </c:pt>
                <c:pt idx="247">
                  <c:v>751.26</c:v>
                </c:pt>
                <c:pt idx="248">
                  <c:v>-174.91</c:v>
                </c:pt>
                <c:pt idx="249">
                  <c:v>-161.58000000000001</c:v>
                </c:pt>
                <c:pt idx="250">
                  <c:v>-206.39</c:v>
                </c:pt>
                <c:pt idx="251">
                  <c:v>-419.39</c:v>
                </c:pt>
                <c:pt idx="252">
                  <c:v>672.27</c:v>
                </c:pt>
                <c:pt idx="253">
                  <c:v>750.44</c:v>
                </c:pt>
                <c:pt idx="254">
                  <c:v>-206.94</c:v>
                </c:pt>
                <c:pt idx="255">
                  <c:v>781.56</c:v>
                </c:pt>
                <c:pt idx="256">
                  <c:v>672.57</c:v>
                </c:pt>
                <c:pt idx="257">
                  <c:v>428.36</c:v>
                </c:pt>
                <c:pt idx="258">
                  <c:v>-162.69</c:v>
                </c:pt>
                <c:pt idx="259">
                  <c:v>-266.66000000000003</c:v>
                </c:pt>
                <c:pt idx="260">
                  <c:v>426.43</c:v>
                </c:pt>
                <c:pt idx="261">
                  <c:v>49.43</c:v>
                </c:pt>
                <c:pt idx="262">
                  <c:v>688.41</c:v>
                </c:pt>
                <c:pt idx="263">
                  <c:v>-266.89999999999998</c:v>
                </c:pt>
                <c:pt idx="264">
                  <c:v>249.32</c:v>
                </c:pt>
                <c:pt idx="265">
                  <c:v>-320.7</c:v>
                </c:pt>
                <c:pt idx="266">
                  <c:v>563.41</c:v>
                </c:pt>
                <c:pt idx="267">
                  <c:v>-149.63</c:v>
                </c:pt>
                <c:pt idx="268">
                  <c:v>50.13</c:v>
                </c:pt>
                <c:pt idx="269">
                  <c:v>-411.78</c:v>
                </c:pt>
                <c:pt idx="270">
                  <c:v>-148.83000000000001</c:v>
                </c:pt>
                <c:pt idx="271">
                  <c:v>-264.7</c:v>
                </c:pt>
                <c:pt idx="272">
                  <c:v>-318.52999999999997</c:v>
                </c:pt>
                <c:pt idx="273">
                  <c:v>-411.27</c:v>
                </c:pt>
                <c:pt idx="274">
                  <c:v>250.84</c:v>
                </c:pt>
                <c:pt idx="275">
                  <c:v>564.9</c:v>
                </c:pt>
                <c:pt idx="276">
                  <c:v>-357.83</c:v>
                </c:pt>
                <c:pt idx="277">
                  <c:v>743.36</c:v>
                </c:pt>
                <c:pt idx="278">
                  <c:v>-318.89999999999998</c:v>
                </c:pt>
                <c:pt idx="279">
                  <c:v>-357.45</c:v>
                </c:pt>
                <c:pt idx="280">
                  <c:v>-265</c:v>
                </c:pt>
                <c:pt idx="281">
                  <c:v>-320.39999999999998</c:v>
                </c:pt>
                <c:pt idx="282">
                  <c:v>687.62</c:v>
                </c:pt>
                <c:pt idx="283">
                  <c:v>-359.59</c:v>
                </c:pt>
                <c:pt idx="284">
                  <c:v>-266.43</c:v>
                </c:pt>
                <c:pt idx="285">
                  <c:v>-317.06</c:v>
                </c:pt>
                <c:pt idx="286">
                  <c:v>-359.11</c:v>
                </c:pt>
                <c:pt idx="287">
                  <c:v>421.22</c:v>
                </c:pt>
                <c:pt idx="288">
                  <c:v>223.13</c:v>
                </c:pt>
                <c:pt idx="289">
                  <c:v>742.92</c:v>
                </c:pt>
                <c:pt idx="290">
                  <c:v>423.11</c:v>
                </c:pt>
                <c:pt idx="291">
                  <c:v>-263.12</c:v>
                </c:pt>
                <c:pt idx="292">
                  <c:v>223.82</c:v>
                </c:pt>
                <c:pt idx="293">
                  <c:v>-395.21</c:v>
                </c:pt>
                <c:pt idx="294">
                  <c:v>-159.58000000000001</c:v>
                </c:pt>
                <c:pt idx="295">
                  <c:v>131.85</c:v>
                </c:pt>
                <c:pt idx="296">
                  <c:v>-266.18</c:v>
                </c:pt>
                <c:pt idx="297">
                  <c:v>-388.33</c:v>
                </c:pt>
                <c:pt idx="298">
                  <c:v>-395.69</c:v>
                </c:pt>
                <c:pt idx="299">
                  <c:v>132.63999999999999</c:v>
                </c:pt>
                <c:pt idx="300">
                  <c:v>-387.85</c:v>
                </c:pt>
                <c:pt idx="301">
                  <c:v>-408.25</c:v>
                </c:pt>
                <c:pt idx="302">
                  <c:v>-160.61000000000001</c:v>
                </c:pt>
                <c:pt idx="303">
                  <c:v>-147.54</c:v>
                </c:pt>
                <c:pt idx="304">
                  <c:v>-408.89</c:v>
                </c:pt>
                <c:pt idx="305">
                  <c:v>-146.86000000000001</c:v>
                </c:pt>
                <c:pt idx="306">
                  <c:v>735.7</c:v>
                </c:pt>
                <c:pt idx="307">
                  <c:v>771.83</c:v>
                </c:pt>
                <c:pt idx="308">
                  <c:v>773.51</c:v>
                </c:pt>
                <c:pt idx="309">
                  <c:v>-396.97</c:v>
                </c:pt>
                <c:pt idx="310">
                  <c:v>-322.58999999999997</c:v>
                </c:pt>
                <c:pt idx="311">
                  <c:v>-396.43</c:v>
                </c:pt>
                <c:pt idx="312">
                  <c:v>-327.54000000000002</c:v>
                </c:pt>
                <c:pt idx="313">
                  <c:v>240.33</c:v>
                </c:pt>
                <c:pt idx="314">
                  <c:v>-318.77</c:v>
                </c:pt>
                <c:pt idx="315">
                  <c:v>223.21</c:v>
                </c:pt>
                <c:pt idx="316">
                  <c:v>-197.46</c:v>
                </c:pt>
                <c:pt idx="317">
                  <c:v>565.75</c:v>
                </c:pt>
                <c:pt idx="318">
                  <c:v>567.08000000000004</c:v>
                </c:pt>
                <c:pt idx="319">
                  <c:v>-321.72000000000003</c:v>
                </c:pt>
                <c:pt idx="320">
                  <c:v>222.26</c:v>
                </c:pt>
                <c:pt idx="321">
                  <c:v>-145.47</c:v>
                </c:pt>
                <c:pt idx="322">
                  <c:v>-328.1</c:v>
                </c:pt>
                <c:pt idx="323">
                  <c:v>-197.08</c:v>
                </c:pt>
                <c:pt idx="324">
                  <c:v>-318.52999999999997</c:v>
                </c:pt>
                <c:pt idx="325">
                  <c:v>665.8</c:v>
                </c:pt>
                <c:pt idx="326">
                  <c:v>-264.42</c:v>
                </c:pt>
                <c:pt idx="327">
                  <c:v>666.02</c:v>
                </c:pt>
                <c:pt idx="328">
                  <c:v>-157.61000000000001</c:v>
                </c:pt>
                <c:pt idx="329">
                  <c:v>-420.53</c:v>
                </c:pt>
                <c:pt idx="330">
                  <c:v>-264.23</c:v>
                </c:pt>
                <c:pt idx="331">
                  <c:v>-158.52000000000001</c:v>
                </c:pt>
                <c:pt idx="332">
                  <c:v>-356.04</c:v>
                </c:pt>
                <c:pt idx="333">
                  <c:v>-355.64</c:v>
                </c:pt>
                <c:pt idx="334">
                  <c:v>-410.28</c:v>
                </c:pt>
                <c:pt idx="335">
                  <c:v>-421.08</c:v>
                </c:pt>
                <c:pt idx="336">
                  <c:v>681.69</c:v>
                </c:pt>
                <c:pt idx="337">
                  <c:v>-357.7</c:v>
                </c:pt>
                <c:pt idx="338">
                  <c:v>-357.3</c:v>
                </c:pt>
                <c:pt idx="339">
                  <c:v>389.35</c:v>
                </c:pt>
                <c:pt idx="340">
                  <c:v>557.54</c:v>
                </c:pt>
                <c:pt idx="341">
                  <c:v>345.04</c:v>
                </c:pt>
                <c:pt idx="342">
                  <c:v>681.13</c:v>
                </c:pt>
                <c:pt idx="343">
                  <c:v>-163.92</c:v>
                </c:pt>
                <c:pt idx="344">
                  <c:v>292.45</c:v>
                </c:pt>
                <c:pt idx="345">
                  <c:v>557.62</c:v>
                </c:pt>
                <c:pt idx="346">
                  <c:v>-212.29</c:v>
                </c:pt>
                <c:pt idx="347">
                  <c:v>-163.74</c:v>
                </c:pt>
                <c:pt idx="348">
                  <c:v>765.5</c:v>
                </c:pt>
                <c:pt idx="349">
                  <c:v>293.10000000000002</c:v>
                </c:pt>
                <c:pt idx="350">
                  <c:v>345.47</c:v>
                </c:pt>
                <c:pt idx="351">
                  <c:v>390.64</c:v>
                </c:pt>
                <c:pt idx="352">
                  <c:v>421.81</c:v>
                </c:pt>
                <c:pt idx="353">
                  <c:v>-211.1</c:v>
                </c:pt>
                <c:pt idx="354">
                  <c:v>419.86</c:v>
                </c:pt>
                <c:pt idx="355">
                  <c:v>764.29</c:v>
                </c:pt>
                <c:pt idx="356">
                  <c:v>-393.54</c:v>
                </c:pt>
                <c:pt idx="357">
                  <c:v>415.51</c:v>
                </c:pt>
                <c:pt idx="358">
                  <c:v>416.62</c:v>
                </c:pt>
                <c:pt idx="359">
                  <c:v>-386.63</c:v>
                </c:pt>
                <c:pt idx="360">
                  <c:v>-386.14</c:v>
                </c:pt>
                <c:pt idx="361">
                  <c:v>-156.44</c:v>
                </c:pt>
                <c:pt idx="362">
                  <c:v>-174.32</c:v>
                </c:pt>
                <c:pt idx="363">
                  <c:v>-316.93</c:v>
                </c:pt>
                <c:pt idx="364">
                  <c:v>-174.03</c:v>
                </c:pt>
                <c:pt idx="365">
                  <c:v>-155.63999999999999</c:v>
                </c:pt>
                <c:pt idx="366">
                  <c:v>-394.01</c:v>
                </c:pt>
                <c:pt idx="367">
                  <c:v>-262.47000000000003</c:v>
                </c:pt>
                <c:pt idx="368">
                  <c:v>-316.64999999999998</c:v>
                </c:pt>
                <c:pt idx="369">
                  <c:v>294.31</c:v>
                </c:pt>
                <c:pt idx="370">
                  <c:v>293.64999999999998</c:v>
                </c:pt>
                <c:pt idx="371">
                  <c:v>-181.44</c:v>
                </c:pt>
                <c:pt idx="372">
                  <c:v>-181.2</c:v>
                </c:pt>
                <c:pt idx="373">
                  <c:v>-137.13</c:v>
                </c:pt>
                <c:pt idx="374">
                  <c:v>-262.27999999999997</c:v>
                </c:pt>
                <c:pt idx="375">
                  <c:v>-395.62</c:v>
                </c:pt>
                <c:pt idx="376">
                  <c:v>-136.97999999999999</c:v>
                </c:pt>
                <c:pt idx="377">
                  <c:v>659.55</c:v>
                </c:pt>
                <c:pt idx="378">
                  <c:v>-78.209999999999994</c:v>
                </c:pt>
                <c:pt idx="379">
                  <c:v>757.59</c:v>
                </c:pt>
                <c:pt idx="380">
                  <c:v>659.35</c:v>
                </c:pt>
                <c:pt idx="381">
                  <c:v>47.47</c:v>
                </c:pt>
                <c:pt idx="382">
                  <c:v>244.1</c:v>
                </c:pt>
                <c:pt idx="383">
                  <c:v>47.06</c:v>
                </c:pt>
                <c:pt idx="384">
                  <c:v>-78.73</c:v>
                </c:pt>
                <c:pt idx="385">
                  <c:v>756.76</c:v>
                </c:pt>
                <c:pt idx="386">
                  <c:v>245.6</c:v>
                </c:pt>
                <c:pt idx="387">
                  <c:v>-327.11</c:v>
                </c:pt>
                <c:pt idx="388">
                  <c:v>-354.24</c:v>
                </c:pt>
                <c:pt idx="389">
                  <c:v>-199.06</c:v>
                </c:pt>
                <c:pt idx="390">
                  <c:v>-353.82</c:v>
                </c:pt>
                <c:pt idx="391">
                  <c:v>-154.34</c:v>
                </c:pt>
                <c:pt idx="392">
                  <c:v>560.16</c:v>
                </c:pt>
                <c:pt idx="393">
                  <c:v>-153.66</c:v>
                </c:pt>
                <c:pt idx="394">
                  <c:v>559.97</c:v>
                </c:pt>
                <c:pt idx="395">
                  <c:v>-199.4</c:v>
                </c:pt>
                <c:pt idx="396">
                  <c:v>-260.33</c:v>
                </c:pt>
                <c:pt idx="397">
                  <c:v>-407.08</c:v>
                </c:pt>
                <c:pt idx="398">
                  <c:v>-260.58</c:v>
                </c:pt>
                <c:pt idx="399">
                  <c:v>-407.55</c:v>
                </c:pt>
                <c:pt idx="400">
                  <c:v>653.14</c:v>
                </c:pt>
                <c:pt idx="401">
                  <c:v>-355.89</c:v>
                </c:pt>
                <c:pt idx="402">
                  <c:v>-355.49</c:v>
                </c:pt>
                <c:pt idx="403">
                  <c:v>674.99</c:v>
                </c:pt>
                <c:pt idx="404">
                  <c:v>-258.37</c:v>
                </c:pt>
                <c:pt idx="405">
                  <c:v>749.68</c:v>
                </c:pt>
                <c:pt idx="406">
                  <c:v>-258.68</c:v>
                </c:pt>
                <c:pt idx="407">
                  <c:v>392.51</c:v>
                </c:pt>
                <c:pt idx="408">
                  <c:v>-315.08999999999997</c:v>
                </c:pt>
                <c:pt idx="409">
                  <c:v>-152.28</c:v>
                </c:pt>
                <c:pt idx="410">
                  <c:v>-352.47</c:v>
                </c:pt>
                <c:pt idx="411">
                  <c:v>-314.76</c:v>
                </c:pt>
                <c:pt idx="412">
                  <c:v>674.64</c:v>
                </c:pt>
                <c:pt idx="413">
                  <c:v>552.09</c:v>
                </c:pt>
                <c:pt idx="414">
                  <c:v>749.25</c:v>
                </c:pt>
                <c:pt idx="415">
                  <c:v>552.32000000000005</c:v>
                </c:pt>
                <c:pt idx="416">
                  <c:v>-256.8</c:v>
                </c:pt>
                <c:pt idx="417">
                  <c:v>-384.95</c:v>
                </c:pt>
                <c:pt idx="418">
                  <c:v>393.8</c:v>
                </c:pt>
                <c:pt idx="419">
                  <c:v>346.72</c:v>
                </c:pt>
                <c:pt idx="420">
                  <c:v>411.36</c:v>
                </c:pt>
                <c:pt idx="421">
                  <c:v>-81.61</c:v>
                </c:pt>
                <c:pt idx="422">
                  <c:v>-419.04</c:v>
                </c:pt>
                <c:pt idx="423">
                  <c:v>346.25</c:v>
                </c:pt>
                <c:pt idx="424">
                  <c:v>-419.57</c:v>
                </c:pt>
                <c:pt idx="425">
                  <c:v>347.88</c:v>
                </c:pt>
                <c:pt idx="426">
                  <c:v>-180.51</c:v>
                </c:pt>
                <c:pt idx="427">
                  <c:v>-180.23</c:v>
                </c:pt>
                <c:pt idx="428">
                  <c:v>-173.72</c:v>
                </c:pt>
                <c:pt idx="429">
                  <c:v>-161.08000000000001</c:v>
                </c:pt>
                <c:pt idx="430">
                  <c:v>-82.13</c:v>
                </c:pt>
                <c:pt idx="431">
                  <c:v>-321.60000000000002</c:v>
                </c:pt>
                <c:pt idx="432">
                  <c:v>-160.9</c:v>
                </c:pt>
                <c:pt idx="433">
                  <c:v>-391.86</c:v>
                </c:pt>
                <c:pt idx="434">
                  <c:v>415.26</c:v>
                </c:pt>
                <c:pt idx="435">
                  <c:v>-321.04000000000002</c:v>
                </c:pt>
                <c:pt idx="436">
                  <c:v>742.03</c:v>
                </c:pt>
                <c:pt idx="437">
                  <c:v>413.86</c:v>
                </c:pt>
                <c:pt idx="438">
                  <c:v>-133.97</c:v>
                </c:pt>
                <c:pt idx="439">
                  <c:v>-392.33</c:v>
                </c:pt>
                <c:pt idx="440">
                  <c:v>-133.82</c:v>
                </c:pt>
                <c:pt idx="441">
                  <c:v>-312.86</c:v>
                </c:pt>
                <c:pt idx="442">
                  <c:v>-313.23</c:v>
                </c:pt>
                <c:pt idx="443">
                  <c:v>-311.39</c:v>
                </c:pt>
                <c:pt idx="444">
                  <c:v>547.02</c:v>
                </c:pt>
                <c:pt idx="445">
                  <c:v>-354.09</c:v>
                </c:pt>
                <c:pt idx="446">
                  <c:v>44.86</c:v>
                </c:pt>
                <c:pt idx="447">
                  <c:v>554.65</c:v>
                </c:pt>
                <c:pt idx="448">
                  <c:v>554.48</c:v>
                </c:pt>
                <c:pt idx="449">
                  <c:v>-353.67</c:v>
                </c:pt>
                <c:pt idx="450">
                  <c:v>-406.28</c:v>
                </c:pt>
                <c:pt idx="451">
                  <c:v>668.31</c:v>
                </c:pt>
                <c:pt idx="452">
                  <c:v>668.16</c:v>
                </c:pt>
                <c:pt idx="453">
                  <c:v>240.88</c:v>
                </c:pt>
                <c:pt idx="454">
                  <c:v>240.58</c:v>
                </c:pt>
                <c:pt idx="455">
                  <c:v>409.67</c:v>
                </c:pt>
                <c:pt idx="456">
                  <c:v>-320.60000000000002</c:v>
                </c:pt>
                <c:pt idx="457">
                  <c:v>-390.17</c:v>
                </c:pt>
                <c:pt idx="458">
                  <c:v>-390.65</c:v>
                </c:pt>
                <c:pt idx="459">
                  <c:v>-417.55</c:v>
                </c:pt>
                <c:pt idx="460">
                  <c:v>-418.05</c:v>
                </c:pt>
                <c:pt idx="461">
                  <c:v>549.29999999999995</c:v>
                </c:pt>
                <c:pt idx="462">
                  <c:v>-352.28</c:v>
                </c:pt>
                <c:pt idx="463">
                  <c:v>-351.84</c:v>
                </c:pt>
                <c:pt idx="464">
                  <c:v>661.75</c:v>
                </c:pt>
                <c:pt idx="465">
                  <c:v>661.69</c:v>
                </c:pt>
                <c:pt idx="466">
                  <c:v>665.23</c:v>
                </c:pt>
                <c:pt idx="467">
                  <c:v>665.02</c:v>
                </c:pt>
                <c:pt idx="468">
                  <c:v>-388.98</c:v>
                </c:pt>
                <c:pt idx="469">
                  <c:v>-350.49</c:v>
                </c:pt>
                <c:pt idx="470">
                  <c:v>237.44</c:v>
                </c:pt>
                <c:pt idx="471">
                  <c:v>658.81</c:v>
                </c:pt>
                <c:pt idx="472">
                  <c:v>-416.56</c:v>
                </c:pt>
                <c:pt idx="473">
                  <c:v>-413.17</c:v>
                </c:pt>
                <c:pt idx="474">
                  <c:v>655.44</c:v>
                </c:pt>
                <c:pt idx="475">
                  <c:v>-347.6</c:v>
                </c:pt>
                <c:pt idx="476">
                  <c:v>-388.88</c:v>
                </c:pt>
                <c:pt idx="477">
                  <c:v>240.38</c:v>
                </c:pt>
                <c:pt idx="478">
                  <c:v>-414.67</c:v>
                </c:pt>
                <c:pt idx="479">
                  <c:v>-414.16</c:v>
                </c:pt>
                <c:pt idx="480">
                  <c:v>551.89</c:v>
                </c:pt>
                <c:pt idx="481">
                  <c:v>407.43</c:v>
                </c:pt>
                <c:pt idx="482">
                  <c:v>-348.95</c:v>
                </c:pt>
                <c:pt idx="483">
                  <c:v>-349.38</c:v>
                </c:pt>
                <c:pt idx="484">
                  <c:v>-390.56</c:v>
                </c:pt>
                <c:pt idx="485">
                  <c:v>-390.07</c:v>
                </c:pt>
                <c:pt idx="486">
                  <c:v>-397.39</c:v>
                </c:pt>
                <c:pt idx="487">
                  <c:v>671.48</c:v>
                </c:pt>
                <c:pt idx="488">
                  <c:v>671.7</c:v>
                </c:pt>
                <c:pt idx="489">
                  <c:v>243.53</c:v>
                </c:pt>
                <c:pt idx="490">
                  <c:v>243.83</c:v>
                </c:pt>
                <c:pt idx="491">
                  <c:v>557.19000000000005</c:v>
                </c:pt>
                <c:pt idx="492">
                  <c:v>-167.49</c:v>
                </c:pt>
                <c:pt idx="493">
                  <c:v>544.42999999999995</c:v>
                </c:pt>
                <c:pt idx="494">
                  <c:v>556.95000000000005</c:v>
                </c:pt>
                <c:pt idx="495">
                  <c:v>50.24</c:v>
                </c:pt>
                <c:pt idx="496">
                  <c:v>-69.45</c:v>
                </c:pt>
                <c:pt idx="497">
                  <c:v>-350.77</c:v>
                </c:pt>
                <c:pt idx="498">
                  <c:v>-351.18</c:v>
                </c:pt>
                <c:pt idx="499">
                  <c:v>411.58</c:v>
                </c:pt>
                <c:pt idx="500">
                  <c:v>412.69</c:v>
                </c:pt>
                <c:pt idx="501">
                  <c:v>-326.52</c:v>
                </c:pt>
                <c:pt idx="502">
                  <c:v>-140.84</c:v>
                </c:pt>
                <c:pt idx="503">
                  <c:v>-127.14</c:v>
                </c:pt>
                <c:pt idx="504">
                  <c:v>-69.09</c:v>
                </c:pt>
                <c:pt idx="505">
                  <c:v>-141.01</c:v>
                </c:pt>
                <c:pt idx="506">
                  <c:v>-416.19</c:v>
                </c:pt>
                <c:pt idx="507">
                  <c:v>-270.81</c:v>
                </c:pt>
                <c:pt idx="508">
                  <c:v>-128.83000000000001</c:v>
                </c:pt>
                <c:pt idx="509">
                  <c:v>-129.03</c:v>
                </c:pt>
                <c:pt idx="510">
                  <c:v>-415.66</c:v>
                </c:pt>
                <c:pt idx="511">
                  <c:v>-398.73</c:v>
                </c:pt>
                <c:pt idx="512">
                  <c:v>-272.7</c:v>
                </c:pt>
                <c:pt idx="513">
                  <c:v>413.6</c:v>
                </c:pt>
                <c:pt idx="514">
                  <c:v>739.05</c:v>
                </c:pt>
                <c:pt idx="515">
                  <c:v>-392.26</c:v>
                </c:pt>
                <c:pt idx="516">
                  <c:v>-179.01</c:v>
                </c:pt>
                <c:pt idx="517">
                  <c:v>-178.76</c:v>
                </c:pt>
                <c:pt idx="518">
                  <c:v>348.3</c:v>
                </c:pt>
                <c:pt idx="519">
                  <c:v>-272.38</c:v>
                </c:pt>
                <c:pt idx="520">
                  <c:v>-165.91</c:v>
                </c:pt>
                <c:pt idx="521">
                  <c:v>-398.19</c:v>
                </c:pt>
                <c:pt idx="522">
                  <c:v>-391.78</c:v>
                </c:pt>
                <c:pt idx="523">
                  <c:v>-166.11</c:v>
                </c:pt>
                <c:pt idx="524">
                  <c:v>677.94</c:v>
                </c:pt>
                <c:pt idx="525">
                  <c:v>-321.31</c:v>
                </c:pt>
                <c:pt idx="526">
                  <c:v>549.62</c:v>
                </c:pt>
                <c:pt idx="527">
                  <c:v>392.39</c:v>
                </c:pt>
                <c:pt idx="528">
                  <c:v>-323.17</c:v>
                </c:pt>
                <c:pt idx="529">
                  <c:v>549.78</c:v>
                </c:pt>
                <c:pt idx="530">
                  <c:v>-404.51</c:v>
                </c:pt>
                <c:pt idx="531">
                  <c:v>-322.77999999999997</c:v>
                </c:pt>
                <c:pt idx="532">
                  <c:v>-274.33999999999997</c:v>
                </c:pt>
                <c:pt idx="533">
                  <c:v>678.24</c:v>
                </c:pt>
                <c:pt idx="534">
                  <c:v>-274.60000000000002</c:v>
                </c:pt>
                <c:pt idx="535">
                  <c:v>649.76</c:v>
                </c:pt>
                <c:pt idx="536">
                  <c:v>-66.05</c:v>
                </c:pt>
                <c:pt idx="537">
                  <c:v>391.03</c:v>
                </c:pt>
                <c:pt idx="538">
                  <c:v>746.25</c:v>
                </c:pt>
                <c:pt idx="539">
                  <c:v>-131.02000000000001</c:v>
                </c:pt>
                <c:pt idx="540">
                  <c:v>-130.80000000000001</c:v>
                </c:pt>
                <c:pt idx="541">
                  <c:v>-65.69</c:v>
                </c:pt>
                <c:pt idx="542">
                  <c:v>-355.36</c:v>
                </c:pt>
                <c:pt idx="543">
                  <c:v>746.94</c:v>
                </c:pt>
                <c:pt idx="544">
                  <c:v>-167.8</c:v>
                </c:pt>
                <c:pt idx="545">
                  <c:v>-168.09</c:v>
                </c:pt>
                <c:pt idx="546">
                  <c:v>-385.05</c:v>
                </c:pt>
                <c:pt idx="547">
                  <c:v>562.49</c:v>
                </c:pt>
                <c:pt idx="548">
                  <c:v>562.41</c:v>
                </c:pt>
                <c:pt idx="549">
                  <c:v>-352.96</c:v>
                </c:pt>
                <c:pt idx="550">
                  <c:v>-352.58</c:v>
                </c:pt>
                <c:pt idx="551">
                  <c:v>-324.69</c:v>
                </c:pt>
                <c:pt idx="552">
                  <c:v>-199.42</c:v>
                </c:pt>
                <c:pt idx="553">
                  <c:v>656.02</c:v>
                </c:pt>
                <c:pt idx="554">
                  <c:v>-325.04000000000002</c:v>
                </c:pt>
                <c:pt idx="555">
                  <c:v>52.45</c:v>
                </c:pt>
                <c:pt idx="556">
                  <c:v>656.08</c:v>
                </c:pt>
                <c:pt idx="557">
                  <c:v>-199.05</c:v>
                </c:pt>
                <c:pt idx="558">
                  <c:v>52.87</c:v>
                </c:pt>
                <c:pt idx="559">
                  <c:v>-326.95</c:v>
                </c:pt>
                <c:pt idx="560">
                  <c:v>-356.71</c:v>
                </c:pt>
                <c:pt idx="561">
                  <c:v>-327.51</c:v>
                </c:pt>
                <c:pt idx="562">
                  <c:v>-144.01</c:v>
                </c:pt>
                <c:pt idx="563">
                  <c:v>-357.15</c:v>
                </c:pt>
                <c:pt idx="564">
                  <c:v>-276.3</c:v>
                </c:pt>
                <c:pt idx="565">
                  <c:v>753.78</c:v>
                </c:pt>
                <c:pt idx="566">
                  <c:v>-144.16999999999999</c:v>
                </c:pt>
                <c:pt idx="567">
                  <c:v>-276.5</c:v>
                </c:pt>
                <c:pt idx="568">
                  <c:v>294.88</c:v>
                </c:pt>
                <c:pt idx="569">
                  <c:v>295.52999999999997</c:v>
                </c:pt>
                <c:pt idx="570">
                  <c:v>-133.12</c:v>
                </c:pt>
                <c:pt idx="571">
                  <c:v>417.29</c:v>
                </c:pt>
                <c:pt idx="572">
                  <c:v>754.85</c:v>
                </c:pt>
                <c:pt idx="573">
                  <c:v>248.97</c:v>
                </c:pt>
                <c:pt idx="574">
                  <c:v>419.19</c:v>
                </c:pt>
                <c:pt idx="575">
                  <c:v>419.18</c:v>
                </c:pt>
                <c:pt idx="576">
                  <c:v>417.79</c:v>
                </c:pt>
                <c:pt idx="577">
                  <c:v>-132.77000000000001</c:v>
                </c:pt>
                <c:pt idx="578">
                  <c:v>-182.67</c:v>
                </c:pt>
                <c:pt idx="579">
                  <c:v>-182.94</c:v>
                </c:pt>
                <c:pt idx="580">
                  <c:v>247.42</c:v>
                </c:pt>
                <c:pt idx="581">
                  <c:v>-212.73</c:v>
                </c:pt>
                <c:pt idx="582">
                  <c:v>-210.62</c:v>
                </c:pt>
                <c:pt idx="583">
                  <c:v>-120.34</c:v>
                </c:pt>
                <c:pt idx="584">
                  <c:v>343.88</c:v>
                </c:pt>
                <c:pt idx="585">
                  <c:v>-393.96</c:v>
                </c:pt>
                <c:pt idx="586">
                  <c:v>684.41</c:v>
                </c:pt>
                <c:pt idx="587">
                  <c:v>291.87</c:v>
                </c:pt>
                <c:pt idx="588">
                  <c:v>-405.31</c:v>
                </c:pt>
                <c:pt idx="589">
                  <c:v>389.23</c:v>
                </c:pt>
                <c:pt idx="590">
                  <c:v>291.20999999999998</c:v>
                </c:pt>
                <c:pt idx="591">
                  <c:v>-393.47</c:v>
                </c:pt>
                <c:pt idx="592">
                  <c:v>343.41</c:v>
                </c:pt>
                <c:pt idx="593">
                  <c:v>761.31</c:v>
                </c:pt>
                <c:pt idx="594">
                  <c:v>555.1</c:v>
                </c:pt>
                <c:pt idx="595">
                  <c:v>-405.79</c:v>
                </c:pt>
                <c:pt idx="596">
                  <c:v>555.29</c:v>
                </c:pt>
                <c:pt idx="597">
                  <c:v>-417.78</c:v>
                </c:pt>
                <c:pt idx="598">
                  <c:v>-326.60000000000002</c:v>
                </c:pt>
                <c:pt idx="599">
                  <c:v>684.92</c:v>
                </c:pt>
                <c:pt idx="600">
                  <c:v>-386.24</c:v>
                </c:pt>
                <c:pt idx="601">
                  <c:v>-122.02</c:v>
                </c:pt>
                <c:pt idx="602">
                  <c:v>-122.22</c:v>
                </c:pt>
                <c:pt idx="603">
                  <c:v>-386.72</c:v>
                </c:pt>
                <c:pt idx="604">
                  <c:v>-326.89999999999998</c:v>
                </c:pt>
                <c:pt idx="605">
                  <c:v>762.77</c:v>
                </c:pt>
                <c:pt idx="606">
                  <c:v>-168.74</c:v>
                </c:pt>
                <c:pt idx="607">
                  <c:v>387.87</c:v>
                </c:pt>
                <c:pt idx="608">
                  <c:v>-417.16</c:v>
                </c:pt>
                <c:pt idx="609">
                  <c:v>-278.26</c:v>
                </c:pt>
                <c:pt idx="610">
                  <c:v>-135.22999999999999</c:v>
                </c:pt>
                <c:pt idx="611">
                  <c:v>-168.95</c:v>
                </c:pt>
                <c:pt idx="612">
                  <c:v>662.63</c:v>
                </c:pt>
                <c:pt idx="613">
                  <c:v>-354.74</c:v>
                </c:pt>
                <c:pt idx="614">
                  <c:v>-413.67</c:v>
                </c:pt>
                <c:pt idx="615">
                  <c:v>-354.38</c:v>
                </c:pt>
                <c:pt idx="616">
                  <c:v>-400.07</c:v>
                </c:pt>
                <c:pt idx="617">
                  <c:v>-278.48</c:v>
                </c:pt>
                <c:pt idx="618">
                  <c:v>662.49</c:v>
                </c:pt>
                <c:pt idx="619">
                  <c:v>221.16</c:v>
                </c:pt>
                <c:pt idx="620">
                  <c:v>-134.74</c:v>
                </c:pt>
                <c:pt idx="621">
                  <c:v>221.86</c:v>
                </c:pt>
                <c:pt idx="622">
                  <c:v>-358.54</c:v>
                </c:pt>
                <c:pt idx="623">
                  <c:v>-358.96</c:v>
                </c:pt>
                <c:pt idx="624">
                  <c:v>-321.19</c:v>
                </c:pt>
                <c:pt idx="625">
                  <c:v>-399.37</c:v>
                </c:pt>
                <c:pt idx="626">
                  <c:v>569.77</c:v>
                </c:pt>
                <c:pt idx="627">
                  <c:v>568.28</c:v>
                </c:pt>
                <c:pt idx="628">
                  <c:v>-124.21</c:v>
                </c:pt>
                <c:pt idx="629">
                  <c:v>-197.1</c:v>
                </c:pt>
                <c:pt idx="630">
                  <c:v>-124</c:v>
                </c:pt>
                <c:pt idx="631">
                  <c:v>-197.43</c:v>
                </c:pt>
                <c:pt idx="632">
                  <c:v>-277.14</c:v>
                </c:pt>
                <c:pt idx="633">
                  <c:v>-137.33000000000001</c:v>
                </c:pt>
                <c:pt idx="634">
                  <c:v>-328.5</c:v>
                </c:pt>
                <c:pt idx="635">
                  <c:v>768.85</c:v>
                </c:pt>
                <c:pt idx="636">
                  <c:v>770.7</c:v>
                </c:pt>
                <c:pt idx="637">
                  <c:v>-280.22000000000003</c:v>
                </c:pt>
                <c:pt idx="638">
                  <c:v>-279.02</c:v>
                </c:pt>
                <c:pt idx="639">
                  <c:v>732.72</c:v>
                </c:pt>
                <c:pt idx="640">
                  <c:v>-328.78</c:v>
                </c:pt>
                <c:pt idx="641">
                  <c:v>425.74</c:v>
                </c:pt>
                <c:pt idx="642">
                  <c:v>243.26</c:v>
                </c:pt>
                <c:pt idx="643">
                  <c:v>-278.7</c:v>
                </c:pt>
                <c:pt idx="644">
                  <c:v>423.8</c:v>
                </c:pt>
                <c:pt idx="645">
                  <c:v>225.18</c:v>
                </c:pt>
                <c:pt idx="646">
                  <c:v>-136.69999999999999</c:v>
                </c:pt>
                <c:pt idx="647">
                  <c:v>224.23</c:v>
                </c:pt>
                <c:pt idx="648">
                  <c:v>-280.5</c:v>
                </c:pt>
                <c:pt idx="649">
                  <c:v>690.89</c:v>
                </c:pt>
                <c:pt idx="650">
                  <c:v>-280.67</c:v>
                </c:pt>
                <c:pt idx="651">
                  <c:v>134.38999999999999</c:v>
                </c:pt>
                <c:pt idx="652">
                  <c:v>-395.71</c:v>
                </c:pt>
                <c:pt idx="653">
                  <c:v>-126.32</c:v>
                </c:pt>
                <c:pt idx="654">
                  <c:v>-168.68</c:v>
                </c:pt>
                <c:pt idx="655">
                  <c:v>423.92</c:v>
                </c:pt>
                <c:pt idx="656">
                  <c:v>-280.93</c:v>
                </c:pt>
                <c:pt idx="657">
                  <c:v>562.21</c:v>
                </c:pt>
                <c:pt idx="658">
                  <c:v>-125.96</c:v>
                </c:pt>
                <c:pt idx="659">
                  <c:v>133.59</c:v>
                </c:pt>
                <c:pt idx="660">
                  <c:v>425.69</c:v>
                </c:pt>
                <c:pt idx="661">
                  <c:v>-202.53</c:v>
                </c:pt>
                <c:pt idx="662">
                  <c:v>-387.93</c:v>
                </c:pt>
                <c:pt idx="663">
                  <c:v>691.6</c:v>
                </c:pt>
                <c:pt idx="664">
                  <c:v>-395.15</c:v>
                </c:pt>
                <c:pt idx="665">
                  <c:v>560.88</c:v>
                </c:pt>
                <c:pt idx="666">
                  <c:v>739.93</c:v>
                </c:pt>
                <c:pt idx="667">
                  <c:v>-388.4</c:v>
                </c:pt>
                <c:pt idx="668">
                  <c:v>-414.67</c:v>
                </c:pt>
                <c:pt idx="669">
                  <c:v>-168.2</c:v>
                </c:pt>
                <c:pt idx="670">
                  <c:v>55.55</c:v>
                </c:pt>
                <c:pt idx="671">
                  <c:v>-356.6</c:v>
                </c:pt>
                <c:pt idx="672">
                  <c:v>-415.17</c:v>
                </c:pt>
                <c:pt idx="673">
                  <c:v>-356.18</c:v>
                </c:pt>
                <c:pt idx="674">
                  <c:v>-201.95</c:v>
                </c:pt>
                <c:pt idx="675">
                  <c:v>669.32</c:v>
                </c:pt>
                <c:pt idx="676">
                  <c:v>740.61</c:v>
                </c:pt>
                <c:pt idx="677">
                  <c:v>-327.62</c:v>
                </c:pt>
                <c:pt idx="678">
                  <c:v>-360.36</c:v>
                </c:pt>
                <c:pt idx="679">
                  <c:v>-322.19</c:v>
                </c:pt>
                <c:pt idx="680">
                  <c:v>54.86</c:v>
                </c:pt>
                <c:pt idx="681">
                  <c:v>-360.76</c:v>
                </c:pt>
                <c:pt idx="682">
                  <c:v>-321.63</c:v>
                </c:pt>
                <c:pt idx="683">
                  <c:v>668.97</c:v>
                </c:pt>
                <c:pt idx="684">
                  <c:v>-328.49</c:v>
                </c:pt>
                <c:pt idx="685">
                  <c:v>-330.39</c:v>
                </c:pt>
                <c:pt idx="686">
                  <c:v>254.24</c:v>
                </c:pt>
                <c:pt idx="687">
                  <c:v>778.72</c:v>
                </c:pt>
                <c:pt idx="688">
                  <c:v>-326.98</c:v>
                </c:pt>
                <c:pt idx="689">
                  <c:v>-330.75</c:v>
                </c:pt>
                <c:pt idx="690">
                  <c:v>252.68</c:v>
                </c:pt>
                <c:pt idx="691">
                  <c:v>-282.63</c:v>
                </c:pt>
                <c:pt idx="692">
                  <c:v>-418.64</c:v>
                </c:pt>
                <c:pt idx="693">
                  <c:v>-128.41999999999999</c:v>
                </c:pt>
                <c:pt idx="694">
                  <c:v>747.45</c:v>
                </c:pt>
                <c:pt idx="695">
                  <c:v>-328.84</c:v>
                </c:pt>
                <c:pt idx="696">
                  <c:v>-328.45</c:v>
                </c:pt>
                <c:pt idx="697">
                  <c:v>576.08000000000004</c:v>
                </c:pt>
                <c:pt idx="698">
                  <c:v>577.41999999999996</c:v>
                </c:pt>
                <c:pt idx="699">
                  <c:v>-406.49</c:v>
                </c:pt>
                <c:pt idx="700">
                  <c:v>-282.83</c:v>
                </c:pt>
                <c:pt idx="701">
                  <c:v>-210.85</c:v>
                </c:pt>
                <c:pt idx="702">
                  <c:v>-127.93</c:v>
                </c:pt>
                <c:pt idx="703">
                  <c:v>748.52</c:v>
                </c:pt>
                <c:pt idx="704">
                  <c:v>-407.13</c:v>
                </c:pt>
                <c:pt idx="705">
                  <c:v>776.4</c:v>
                </c:pt>
                <c:pt idx="706">
                  <c:v>-211.29</c:v>
                </c:pt>
                <c:pt idx="707">
                  <c:v>-205.51</c:v>
                </c:pt>
                <c:pt idx="708">
                  <c:v>246.41</c:v>
                </c:pt>
                <c:pt idx="709">
                  <c:v>246.72</c:v>
                </c:pt>
                <c:pt idx="710">
                  <c:v>-330.37</c:v>
                </c:pt>
                <c:pt idx="711">
                  <c:v>-401.41</c:v>
                </c:pt>
                <c:pt idx="712">
                  <c:v>-206.06</c:v>
                </c:pt>
                <c:pt idx="713">
                  <c:v>-165.4</c:v>
                </c:pt>
                <c:pt idx="714">
                  <c:v>754.98</c:v>
                </c:pt>
                <c:pt idx="715">
                  <c:v>-330.71</c:v>
                </c:pt>
                <c:pt idx="716">
                  <c:v>-130.52000000000001</c:v>
                </c:pt>
                <c:pt idx="717">
                  <c:v>-85.42</c:v>
                </c:pt>
                <c:pt idx="718">
                  <c:v>-400.58</c:v>
                </c:pt>
                <c:pt idx="719">
                  <c:v>33.78</c:v>
                </c:pt>
                <c:pt idx="720">
                  <c:v>-166.06</c:v>
                </c:pt>
                <c:pt idx="721">
                  <c:v>756.44</c:v>
                </c:pt>
                <c:pt idx="722">
                  <c:v>-397.5</c:v>
                </c:pt>
                <c:pt idx="723">
                  <c:v>-284.58999999999997</c:v>
                </c:pt>
                <c:pt idx="724">
                  <c:v>-362.17</c:v>
                </c:pt>
                <c:pt idx="725">
                  <c:v>-362.56</c:v>
                </c:pt>
                <c:pt idx="726">
                  <c:v>570.04</c:v>
                </c:pt>
                <c:pt idx="727">
                  <c:v>432.29</c:v>
                </c:pt>
                <c:pt idx="728">
                  <c:v>32.83</c:v>
                </c:pt>
                <c:pt idx="729">
                  <c:v>430.36</c:v>
                </c:pt>
                <c:pt idx="730">
                  <c:v>-84.81</c:v>
                </c:pt>
                <c:pt idx="731">
                  <c:v>568.71</c:v>
                </c:pt>
                <c:pt idx="732">
                  <c:v>-389.61</c:v>
                </c:pt>
                <c:pt idx="733">
                  <c:v>676.02</c:v>
                </c:pt>
                <c:pt idx="734">
                  <c:v>-396.84</c:v>
                </c:pt>
                <c:pt idx="735">
                  <c:v>-129.9</c:v>
                </c:pt>
                <c:pt idx="736">
                  <c:v>-284.81</c:v>
                </c:pt>
                <c:pt idx="737">
                  <c:v>-390.08</c:v>
                </c:pt>
                <c:pt idx="738">
                  <c:v>-416.16</c:v>
                </c:pt>
                <c:pt idx="739">
                  <c:v>52.01</c:v>
                </c:pt>
                <c:pt idx="740">
                  <c:v>675.45</c:v>
                </c:pt>
                <c:pt idx="741">
                  <c:v>-416.68</c:v>
                </c:pt>
                <c:pt idx="742">
                  <c:v>-166.89</c:v>
                </c:pt>
                <c:pt idx="743">
                  <c:v>430.61</c:v>
                </c:pt>
                <c:pt idx="744">
                  <c:v>432.2</c:v>
                </c:pt>
                <c:pt idx="745">
                  <c:v>-332.27</c:v>
                </c:pt>
                <c:pt idx="746">
                  <c:v>-332.57</c:v>
                </c:pt>
                <c:pt idx="747">
                  <c:v>583.9</c:v>
                </c:pt>
                <c:pt idx="748">
                  <c:v>-163.43</c:v>
                </c:pt>
                <c:pt idx="749">
                  <c:v>585.22</c:v>
                </c:pt>
                <c:pt idx="750">
                  <c:v>762.53</c:v>
                </c:pt>
                <c:pt idx="751">
                  <c:v>764.37</c:v>
                </c:pt>
                <c:pt idx="752">
                  <c:v>-286.54000000000002</c:v>
                </c:pt>
                <c:pt idx="753">
                  <c:v>434.35</c:v>
                </c:pt>
                <c:pt idx="754">
                  <c:v>-162.75</c:v>
                </c:pt>
                <c:pt idx="755">
                  <c:v>-323.18</c:v>
                </c:pt>
                <c:pt idx="756">
                  <c:v>436.04</c:v>
                </c:pt>
                <c:pt idx="757">
                  <c:v>135.83000000000001</c:v>
                </c:pt>
                <c:pt idx="758">
                  <c:v>-286.83</c:v>
                </c:pt>
                <c:pt idx="759">
                  <c:v>-169.26</c:v>
                </c:pt>
                <c:pt idx="760">
                  <c:v>-420.13</c:v>
                </c:pt>
                <c:pt idx="761">
                  <c:v>-322.31</c:v>
                </c:pt>
                <c:pt idx="762">
                  <c:v>135.03</c:v>
                </c:pt>
                <c:pt idx="763">
                  <c:v>-363.98</c:v>
                </c:pt>
                <c:pt idx="764">
                  <c:v>-364.46</c:v>
                </c:pt>
                <c:pt idx="765">
                  <c:v>-168.58</c:v>
                </c:pt>
                <c:pt idx="766">
                  <c:v>58.24</c:v>
                </c:pt>
                <c:pt idx="767">
                  <c:v>-328.47</c:v>
                </c:pt>
                <c:pt idx="768">
                  <c:v>259.52</c:v>
                </c:pt>
                <c:pt idx="769">
                  <c:v>57.34</c:v>
                </c:pt>
                <c:pt idx="770">
                  <c:v>-329.46</c:v>
                </c:pt>
                <c:pt idx="771">
                  <c:v>682.73</c:v>
                </c:pt>
                <c:pt idx="772">
                  <c:v>-407.7</c:v>
                </c:pt>
                <c:pt idx="773">
                  <c:v>577.87</c:v>
                </c:pt>
                <c:pt idx="774">
                  <c:v>-334.17</c:v>
                </c:pt>
                <c:pt idx="775">
                  <c:v>257.95</c:v>
                </c:pt>
                <c:pt idx="776">
                  <c:v>576.54999999999995</c:v>
                </c:pt>
                <c:pt idx="777">
                  <c:v>-391.28</c:v>
                </c:pt>
                <c:pt idx="778">
                  <c:v>-334.45</c:v>
                </c:pt>
                <c:pt idx="779">
                  <c:v>-408.46</c:v>
                </c:pt>
                <c:pt idx="780">
                  <c:v>681.95</c:v>
                </c:pt>
                <c:pt idx="781">
                  <c:v>-167.21</c:v>
                </c:pt>
                <c:pt idx="782">
                  <c:v>-391.76</c:v>
                </c:pt>
                <c:pt idx="783">
                  <c:v>-167.49</c:v>
                </c:pt>
                <c:pt idx="784">
                  <c:v>54.21</c:v>
                </c:pt>
                <c:pt idx="785">
                  <c:v>772.39</c:v>
                </c:pt>
                <c:pt idx="786">
                  <c:v>430.95</c:v>
                </c:pt>
                <c:pt idx="787">
                  <c:v>54.64</c:v>
                </c:pt>
                <c:pt idx="788">
                  <c:v>251.85</c:v>
                </c:pt>
                <c:pt idx="789">
                  <c:v>438.86</c:v>
                </c:pt>
                <c:pt idx="790">
                  <c:v>250.31</c:v>
                </c:pt>
                <c:pt idx="791">
                  <c:v>-402.74</c:v>
                </c:pt>
                <c:pt idx="792">
                  <c:v>432.64</c:v>
                </c:pt>
                <c:pt idx="793">
                  <c:v>436.94</c:v>
                </c:pt>
                <c:pt idx="794">
                  <c:v>-401.78</c:v>
                </c:pt>
                <c:pt idx="795">
                  <c:v>-417.64</c:v>
                </c:pt>
                <c:pt idx="796">
                  <c:v>770.07</c:v>
                </c:pt>
                <c:pt idx="797">
                  <c:v>437.3</c:v>
                </c:pt>
                <c:pt idx="798">
                  <c:v>-418.19</c:v>
                </c:pt>
                <c:pt idx="799">
                  <c:v>438.73</c:v>
                </c:pt>
                <c:pt idx="800">
                  <c:v>-336.06</c:v>
                </c:pt>
                <c:pt idx="801">
                  <c:v>-336.42</c:v>
                </c:pt>
                <c:pt idx="802">
                  <c:v>34.659999999999997</c:v>
                </c:pt>
                <c:pt idx="803">
                  <c:v>-85.13</c:v>
                </c:pt>
                <c:pt idx="804">
                  <c:v>33.71</c:v>
                </c:pt>
                <c:pt idx="805">
                  <c:v>-84.51</c:v>
                </c:pt>
                <c:pt idx="806">
                  <c:v>-392.95</c:v>
                </c:pt>
                <c:pt idx="807">
                  <c:v>-393.54</c:v>
                </c:pt>
                <c:pt idx="808">
                  <c:v>-324.17</c:v>
                </c:pt>
                <c:pt idx="809">
                  <c:v>-323.13</c:v>
                </c:pt>
                <c:pt idx="810">
                  <c:v>-169.84</c:v>
                </c:pt>
                <c:pt idx="811">
                  <c:v>264.81</c:v>
                </c:pt>
                <c:pt idx="812">
                  <c:v>-329.32</c:v>
                </c:pt>
                <c:pt idx="813">
                  <c:v>-408.9</c:v>
                </c:pt>
                <c:pt idx="814">
                  <c:v>445.43</c:v>
                </c:pt>
                <c:pt idx="815">
                  <c:v>443.52</c:v>
                </c:pt>
                <c:pt idx="816">
                  <c:v>60.94</c:v>
                </c:pt>
                <c:pt idx="817">
                  <c:v>263.22000000000003</c:v>
                </c:pt>
                <c:pt idx="818">
                  <c:v>-168.96</c:v>
                </c:pt>
                <c:pt idx="819">
                  <c:v>-409.79</c:v>
                </c:pt>
                <c:pt idx="820">
                  <c:v>-330.43</c:v>
                </c:pt>
                <c:pt idx="821">
                  <c:v>-419.12</c:v>
                </c:pt>
                <c:pt idx="822">
                  <c:v>59.83</c:v>
                </c:pt>
                <c:pt idx="823">
                  <c:v>-168.09</c:v>
                </c:pt>
                <c:pt idx="824">
                  <c:v>-404.07</c:v>
                </c:pt>
                <c:pt idx="825">
                  <c:v>57.32</c:v>
                </c:pt>
                <c:pt idx="826">
                  <c:v>257.13</c:v>
                </c:pt>
                <c:pt idx="827">
                  <c:v>-419.79</c:v>
                </c:pt>
                <c:pt idx="828">
                  <c:v>56.63</c:v>
                </c:pt>
                <c:pt idx="829">
                  <c:v>-167.6</c:v>
                </c:pt>
                <c:pt idx="830">
                  <c:v>255.57</c:v>
                </c:pt>
                <c:pt idx="831">
                  <c:v>-402.99</c:v>
                </c:pt>
                <c:pt idx="832">
                  <c:v>-325.14999999999998</c:v>
                </c:pt>
                <c:pt idx="833">
                  <c:v>-420.59</c:v>
                </c:pt>
                <c:pt idx="834">
                  <c:v>-410.11</c:v>
                </c:pt>
                <c:pt idx="835">
                  <c:v>-323.99</c:v>
                </c:pt>
                <c:pt idx="836">
                  <c:v>-421.38</c:v>
                </c:pt>
                <c:pt idx="837">
                  <c:v>-330.17</c:v>
                </c:pt>
                <c:pt idx="838">
                  <c:v>-411.12</c:v>
                </c:pt>
                <c:pt idx="839">
                  <c:v>-170.41</c:v>
                </c:pt>
                <c:pt idx="840">
                  <c:v>64.64</c:v>
                </c:pt>
                <c:pt idx="841">
                  <c:v>262.41000000000003</c:v>
                </c:pt>
                <c:pt idx="842">
                  <c:v>-331.4</c:v>
                </c:pt>
                <c:pt idx="843">
                  <c:v>-168.67</c:v>
                </c:pt>
                <c:pt idx="844">
                  <c:v>-169.34</c:v>
                </c:pt>
                <c:pt idx="845">
                  <c:v>260.83999999999997</c:v>
                </c:pt>
                <c:pt idx="846">
                  <c:v>60.01</c:v>
                </c:pt>
                <c:pt idx="847">
                  <c:v>62.85</c:v>
                </c:pt>
                <c:pt idx="848">
                  <c:v>-167.99</c:v>
                </c:pt>
                <c:pt idx="849">
                  <c:v>59.11</c:v>
                </c:pt>
                <c:pt idx="850">
                  <c:v>817.52</c:v>
                </c:pt>
                <c:pt idx="851">
                  <c:v>499.65</c:v>
                </c:pt>
                <c:pt idx="852">
                  <c:v>497.77</c:v>
                </c:pt>
                <c:pt idx="853">
                  <c:v>826.06</c:v>
                </c:pt>
                <c:pt idx="854">
                  <c:v>826.92</c:v>
                </c:pt>
                <c:pt idx="855">
                  <c:v>496.1</c:v>
                </c:pt>
                <c:pt idx="856">
                  <c:v>494.22</c:v>
                </c:pt>
                <c:pt idx="857">
                  <c:v>-326.13</c:v>
                </c:pt>
                <c:pt idx="858">
                  <c:v>834.97</c:v>
                </c:pt>
                <c:pt idx="859">
                  <c:v>836.38</c:v>
                </c:pt>
                <c:pt idx="860">
                  <c:v>-324.85000000000002</c:v>
                </c:pt>
                <c:pt idx="861">
                  <c:v>843.88</c:v>
                </c:pt>
                <c:pt idx="862">
                  <c:v>267.7</c:v>
                </c:pt>
                <c:pt idx="863">
                  <c:v>845.9</c:v>
                </c:pt>
                <c:pt idx="864">
                  <c:v>266.11</c:v>
                </c:pt>
                <c:pt idx="865">
                  <c:v>-169.25</c:v>
                </c:pt>
                <c:pt idx="866">
                  <c:v>62.7</c:v>
                </c:pt>
                <c:pt idx="867">
                  <c:v>852.84</c:v>
                </c:pt>
                <c:pt idx="868">
                  <c:v>810.71</c:v>
                </c:pt>
                <c:pt idx="869">
                  <c:v>61.59</c:v>
                </c:pt>
                <c:pt idx="870">
                  <c:v>-168.37</c:v>
                </c:pt>
                <c:pt idx="871">
                  <c:v>855.42</c:v>
                </c:pt>
                <c:pt idx="872">
                  <c:v>861.91</c:v>
                </c:pt>
                <c:pt idx="873">
                  <c:v>819.25</c:v>
                </c:pt>
                <c:pt idx="874">
                  <c:v>820.12</c:v>
                </c:pt>
                <c:pt idx="875">
                  <c:v>864.94</c:v>
                </c:pt>
                <c:pt idx="876">
                  <c:v>828.16</c:v>
                </c:pt>
                <c:pt idx="877">
                  <c:v>829.58</c:v>
                </c:pt>
                <c:pt idx="878">
                  <c:v>837.07</c:v>
                </c:pt>
                <c:pt idx="879">
                  <c:v>839.09</c:v>
                </c:pt>
                <c:pt idx="880">
                  <c:v>846.03</c:v>
                </c:pt>
                <c:pt idx="881">
                  <c:v>848.61</c:v>
                </c:pt>
                <c:pt idx="882">
                  <c:v>855.1</c:v>
                </c:pt>
                <c:pt idx="883">
                  <c:v>66.41</c:v>
                </c:pt>
                <c:pt idx="884">
                  <c:v>858.13</c:v>
                </c:pt>
                <c:pt idx="885">
                  <c:v>-169.82</c:v>
                </c:pt>
                <c:pt idx="886">
                  <c:v>64.61</c:v>
                </c:pt>
                <c:pt idx="887">
                  <c:v>-168.74</c:v>
                </c:pt>
                <c:pt idx="888">
                  <c:v>934.98</c:v>
                </c:pt>
                <c:pt idx="889">
                  <c:v>946.1</c:v>
                </c:pt>
                <c:pt idx="890">
                  <c:v>945.18</c:v>
                </c:pt>
                <c:pt idx="891">
                  <c:v>927.88</c:v>
                </c:pt>
                <c:pt idx="892">
                  <c:v>957.28</c:v>
                </c:pt>
                <c:pt idx="893">
                  <c:v>955.73</c:v>
                </c:pt>
                <c:pt idx="894">
                  <c:v>938.99</c:v>
                </c:pt>
                <c:pt idx="895">
                  <c:v>938.08</c:v>
                </c:pt>
                <c:pt idx="896">
                  <c:v>968.48</c:v>
                </c:pt>
                <c:pt idx="897">
                  <c:v>966.28</c:v>
                </c:pt>
                <c:pt idx="898">
                  <c:v>950.18</c:v>
                </c:pt>
                <c:pt idx="899">
                  <c:v>948.62</c:v>
                </c:pt>
                <c:pt idx="900">
                  <c:v>979.68</c:v>
                </c:pt>
                <c:pt idx="901">
                  <c:v>976.92</c:v>
                </c:pt>
                <c:pt idx="902">
                  <c:v>961.38</c:v>
                </c:pt>
                <c:pt idx="903">
                  <c:v>959.18</c:v>
                </c:pt>
                <c:pt idx="904">
                  <c:v>990.9</c:v>
                </c:pt>
                <c:pt idx="905">
                  <c:v>987.56</c:v>
                </c:pt>
                <c:pt idx="906">
                  <c:v>972.58</c:v>
                </c:pt>
                <c:pt idx="907">
                  <c:v>969.82</c:v>
                </c:pt>
                <c:pt idx="908">
                  <c:v>983.8</c:v>
                </c:pt>
                <c:pt idx="909">
                  <c:v>980.46</c:v>
                </c:pt>
                <c:pt idx="910">
                  <c:v>110.93</c:v>
                </c:pt>
                <c:pt idx="911">
                  <c:v>110.57</c:v>
                </c:pt>
                <c:pt idx="912">
                  <c:v>114.48</c:v>
                </c:pt>
                <c:pt idx="913">
                  <c:v>114.12</c:v>
                </c:pt>
                <c:pt idx="914">
                  <c:v>184.71</c:v>
                </c:pt>
                <c:pt idx="915">
                  <c:v>191.07</c:v>
                </c:pt>
                <c:pt idx="916">
                  <c:v>190.89</c:v>
                </c:pt>
                <c:pt idx="917">
                  <c:v>197.52</c:v>
                </c:pt>
                <c:pt idx="918">
                  <c:v>197.25</c:v>
                </c:pt>
                <c:pt idx="919">
                  <c:v>203.98</c:v>
                </c:pt>
                <c:pt idx="920">
                  <c:v>203.62</c:v>
                </c:pt>
                <c:pt idx="921">
                  <c:v>191.82</c:v>
                </c:pt>
                <c:pt idx="922">
                  <c:v>210.48</c:v>
                </c:pt>
                <c:pt idx="923">
                  <c:v>209.99</c:v>
                </c:pt>
                <c:pt idx="924">
                  <c:v>198.17</c:v>
                </c:pt>
                <c:pt idx="925">
                  <c:v>197.99</c:v>
                </c:pt>
                <c:pt idx="926">
                  <c:v>216.98</c:v>
                </c:pt>
                <c:pt idx="927">
                  <c:v>216.36</c:v>
                </c:pt>
                <c:pt idx="928">
                  <c:v>204.62</c:v>
                </c:pt>
                <c:pt idx="929">
                  <c:v>204.35</c:v>
                </c:pt>
                <c:pt idx="930">
                  <c:v>211.08</c:v>
                </c:pt>
                <c:pt idx="931">
                  <c:v>210.72</c:v>
                </c:pt>
                <c:pt idx="932">
                  <c:v>217.58</c:v>
                </c:pt>
                <c:pt idx="933">
                  <c:v>217.09</c:v>
                </c:pt>
                <c:pt idx="934">
                  <c:v>224.08</c:v>
                </c:pt>
                <c:pt idx="935">
                  <c:v>223.46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67-4491-882C-E2D63CFCF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490703"/>
        <c:axId val="635489455"/>
      </c:scatterChart>
      <c:valAx>
        <c:axId val="635490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id-ID"/>
                  <a:t>Mn (kNm)</a:t>
                </a:r>
              </a:p>
            </c:rich>
          </c:tx>
          <c:layout>
            <c:manualLayout>
              <c:xMode val="edge"/>
              <c:yMode val="edge"/>
              <c:x val="0.33880317798592197"/>
              <c:y val="0.95009771770072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id-ID"/>
          </a:p>
        </c:txPr>
        <c:crossAx val="635489455"/>
        <c:crosses val="autoZero"/>
        <c:crossBetween val="midCat"/>
        <c:minorUnit val="50"/>
      </c:valAx>
      <c:valAx>
        <c:axId val="63548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id-ID"/>
                  <a:t>Pn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id-ID"/>
          </a:p>
        </c:txPr>
        <c:crossAx val="635490703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02716169201335"/>
          <c:y val="8.7562384511661207E-2"/>
          <c:w val="0.21889787182579401"/>
          <c:h val="0.3167753713661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Momen pada </a:t>
            </a:r>
            <a:r>
              <a:rPr lang="id-ID" sz="1200" b="0" i="1" baseline="0">
                <a:effectLst/>
              </a:rPr>
              <a:t>Corrugated Steel </a:t>
            </a:r>
            <a:r>
              <a:rPr lang="id-ID" sz="1200" b="0" i="0" baseline="0">
                <a:effectLst/>
              </a:rPr>
              <a:t>P1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992383499726290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Komposit Vs CSP'!$AG$16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CSP'!$AJ$16:$AK$16</c:f>
              <c:numCache>
                <c:formatCode>General</c:formatCode>
                <c:ptCount val="2"/>
                <c:pt idx="0">
                  <c:v>7.72</c:v>
                </c:pt>
                <c:pt idx="1">
                  <c:v>-1.92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8-4607-908B-E663F99C6879}"/>
            </c:ext>
          </c:extLst>
        </c:ser>
        <c:ser>
          <c:idx val="2"/>
          <c:order val="1"/>
          <c:tx>
            <c:strRef>
              <c:f>'Perbandingan Komposit Vs CSP'!$AG$17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CSP'!$AJ$17:$AK$17</c:f>
              <c:numCache>
                <c:formatCode>General</c:formatCode>
                <c:ptCount val="2"/>
                <c:pt idx="0">
                  <c:v>15.9</c:v>
                </c:pt>
                <c:pt idx="1">
                  <c:v>-5.17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8-4607-908B-E663F99C6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3695664791152522"/>
              <c:y val="0.6597222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Momen, My (kNm)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93290656735136"/>
          <c:y val="0.36358632254301548"/>
          <c:w val="0.23337603173033139"/>
          <c:h val="0.25801254009915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Gaya Aksial pada </a:t>
            </a:r>
            <a:r>
              <a:rPr lang="id-ID" sz="1200" b="0" i="1" baseline="0">
                <a:effectLst/>
              </a:rPr>
              <a:t>Corrugated Steel </a:t>
            </a:r>
            <a:r>
              <a:rPr lang="id-ID" sz="1200" b="0" i="0" baseline="0">
                <a:effectLst/>
              </a:rPr>
              <a:t>P2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992383499726290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Komposit Vs CSP'!$AG$18</c:f>
              <c:strCache>
                <c:ptCount val="1"/>
                <c:pt idx="0">
                  <c:v>Beton Bertulang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E48-4C9D-A3E7-B0D68681A42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E48-4C9D-A3E7-B0D68681A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CSP'!$AH$18:$AI$18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8-4607-908B-E663F99C6879}"/>
            </c:ext>
          </c:extLst>
        </c:ser>
        <c:ser>
          <c:idx val="2"/>
          <c:order val="1"/>
          <c:tx>
            <c:strRef>
              <c:f>'Perbandingan Komposit Vs CSP'!$AG$19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CSP'!$AH$19:$AI$19</c:f>
              <c:numCache>
                <c:formatCode>General</c:formatCode>
                <c:ptCount val="2"/>
                <c:pt idx="0">
                  <c:v>274.93</c:v>
                </c:pt>
                <c:pt idx="1">
                  <c:v>-734.97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8-4607-908B-E663F99C68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P2</a:t>
                </a:r>
              </a:p>
            </c:rich>
          </c:tx>
          <c:layout>
            <c:manualLayout>
              <c:xMode val="edge"/>
              <c:yMode val="edge"/>
              <c:x val="0.43695664791152522"/>
              <c:y val="0.395833333333333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Aksial, Fx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93290656735136"/>
          <c:y val="0.36358632254301548"/>
          <c:w val="0.23337603173033139"/>
          <c:h val="0.25801254009915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Momen pada </a:t>
            </a:r>
            <a:r>
              <a:rPr lang="id-ID" sz="1200" b="0" i="1" baseline="0">
                <a:effectLst/>
              </a:rPr>
              <a:t>Corrugated Steel </a:t>
            </a:r>
            <a:r>
              <a:rPr lang="id-ID" sz="1200" b="0" i="0" baseline="0">
                <a:effectLst/>
              </a:rPr>
              <a:t>P2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992383499726290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Komposit Vs CSP'!$AG$18</c:f>
              <c:strCache>
                <c:ptCount val="1"/>
                <c:pt idx="0">
                  <c:v>Beton Bertulang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624-4977-BBE9-7A56C1883C9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624-4977-BBE9-7A56C1883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CSP'!$AJ$18:$AK$18</c:f>
              <c:numCache>
                <c:formatCode>General</c:formatCode>
                <c:ptCount val="2"/>
                <c:pt idx="0">
                  <c:v>0.25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8-4607-908B-E663F99C6879}"/>
            </c:ext>
          </c:extLst>
        </c:ser>
        <c:ser>
          <c:idx val="2"/>
          <c:order val="1"/>
          <c:tx>
            <c:strRef>
              <c:f>'Perbandingan Komposit Vs CSP'!$AG$19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CSP'!$AE$13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CSP'!$AJ$19:$AK$19</c:f>
              <c:numCache>
                <c:formatCode>General</c:formatCode>
                <c:ptCount val="2"/>
                <c:pt idx="0">
                  <c:v>8.09</c:v>
                </c:pt>
                <c:pt idx="1">
                  <c:v>-17.37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8-4607-908B-E663F99C6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</a:t>
                </a:r>
                <a:r>
                  <a:rPr lang="id-ID" sz="900"/>
                  <a:t>2</a:t>
                </a:r>
              </a:p>
            </c:rich>
          </c:tx>
          <c:layout>
            <c:manualLayout>
              <c:xMode val="edge"/>
              <c:yMode val="edge"/>
              <c:x val="0.43695664791152522"/>
              <c:y val="0.40046296296296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Momen, My (kNm)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93290656735136"/>
          <c:y val="0.36358632254301548"/>
          <c:w val="0.23337603173033139"/>
          <c:h val="0.25801254009915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Kontrol Gaya Geser pada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504211375403316"/>
          <c:y val="0.13796296296296295"/>
          <c:w val="0.4929593119231635"/>
          <c:h val="0.78172863808690585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'Perbandingan Komposit Vs CSP'!$AN$38</c:f>
              <c:strCache>
                <c:ptCount val="1"/>
                <c:pt idx="0">
                  <c:v>Komposit CSP+Beton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CSP'!$AN$37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CSP'!$AO$37:$AO$38</c:f>
              <c:numCache>
                <c:formatCode>General</c:formatCode>
                <c:ptCount val="2"/>
                <c:pt idx="1">
                  <c:v>252.29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C72-47ED-883D-71C8E0B480E4}"/>
            </c:ext>
          </c:extLst>
        </c:ser>
        <c:ser>
          <c:idx val="2"/>
          <c:order val="3"/>
          <c:tx>
            <c:strRef>
              <c:f>'Perbandingan Komposit Vs CSP'!$AN$40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CSP'!$AN$37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CSP'!$AO$39:$AO$40</c:f>
              <c:numCache>
                <c:formatCode>General</c:formatCode>
                <c:ptCount val="2"/>
                <c:pt idx="1">
                  <c:v>21.28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0C72-47ED-883D-71C8E0B4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CSP'!$AP$36</c:f>
              <c:strCache>
                <c:ptCount val="1"/>
                <c:pt idx="0">
                  <c:v>ϕVn
Komposit CS+Beton</c:v>
                </c:pt>
              </c:strCache>
            </c:strRef>
          </c:tx>
          <c:spPr>
            <a:ln w="19050">
              <a:solidFill>
                <a:srgbClr val="0070C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C72-47ED-883D-71C8E0B480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C72-47ED-883D-71C8E0B4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CSP'!$AP$36</c:f>
              <c:strCache>
                <c:ptCount val="1"/>
                <c:pt idx="0">
                  <c:v>ϕVn
Komposit CS+Beton</c:v>
                </c:pt>
              </c:strCache>
            </c:strRef>
          </c:cat>
          <c:val>
            <c:numRef>
              <c:f>'Perbandingan Komposit Vs CSP'!$AP$37:$AP$39</c:f>
              <c:numCache>
                <c:formatCode>0.00</c:formatCode>
                <c:ptCount val="3"/>
                <c:pt idx="0">
                  <c:v>1583.32622566186</c:v>
                </c:pt>
                <c:pt idx="1">
                  <c:v>1583.32622566186</c:v>
                </c:pt>
                <c:pt idx="2">
                  <c:v>1583.32622566186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0C72-47ED-883D-71C8E0B480E4}"/>
            </c:ext>
          </c:extLst>
        </c:ser>
        <c:ser>
          <c:idx val="5"/>
          <c:order val="1"/>
          <c:tx>
            <c:strRef>
              <c:f>'Perbandingan Komposit Vs CSP'!$AQ$36</c:f>
              <c:strCache>
                <c:ptCount val="1"/>
                <c:pt idx="0">
                  <c:v>ϕVn
Corrugated Steel</c:v>
                </c:pt>
              </c:strCache>
            </c:strRef>
          </c:tx>
          <c:spPr>
            <a:ln>
              <a:solidFill>
                <a:schemeClr val="accent4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C72-47ED-883D-71C8E0B480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C72-47ED-883D-71C8E0B4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'Perbandingan Komposit Vs CSP'!$AQ$36</c:f>
              <c:strCache>
                <c:ptCount val="1"/>
                <c:pt idx="0">
                  <c:v>ϕVn
Corrugated Steel</c:v>
                </c:pt>
              </c:strCache>
            </c:strRef>
          </c:cat>
          <c:val>
            <c:numRef>
              <c:f>'Perbandingan Komposit Vs CSP'!$AQ$37:$AQ$39</c:f>
              <c:numCache>
                <c:formatCode>0.00</c:formatCode>
                <c:ptCount val="3"/>
                <c:pt idx="0">
                  <c:v>1181.1743999999999</c:v>
                </c:pt>
                <c:pt idx="1">
                  <c:v>1181.1743999999999</c:v>
                </c:pt>
                <c:pt idx="2">
                  <c:v>1181.1743999999999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C72-47ED-883D-71C8E0B4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6024635139191108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Geser, V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650929504014409"/>
          <c:y val="0.51455234762321378"/>
          <c:w val="0.35896042807833717"/>
          <c:h val="0.4153397491980169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Kontrol Gaya Geser pada </a:t>
            </a: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504211375403316"/>
          <c:y val="0.13796296296296295"/>
          <c:w val="0.53762896750956712"/>
          <c:h val="0.78172863808690585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'Perbandingan Komposit Vs CSP'!$AS$38</c:f>
              <c:strCache>
                <c:ptCount val="1"/>
                <c:pt idx="0">
                  <c:v>Beton Bertulang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CSP'!$AS$37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CSP'!$AT$37:$AT$38</c:f>
              <c:numCache>
                <c:formatCode>General</c:formatCode>
                <c:ptCount val="2"/>
                <c:pt idx="1">
                  <c:v>107.63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C72-47ED-883D-71C8E0B480E4}"/>
            </c:ext>
          </c:extLst>
        </c:ser>
        <c:ser>
          <c:idx val="2"/>
          <c:order val="3"/>
          <c:tx>
            <c:strRef>
              <c:f>'Perbandingan Komposit Vs CSP'!$AS$40</c:f>
              <c:strCache>
                <c:ptCount val="1"/>
                <c:pt idx="0">
                  <c:v>Corrugated Steel Plate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Komposit Vs CSP'!$AS$37</c:f>
              <c:numCache>
                <c:formatCode>General</c:formatCode>
                <c:ptCount val="1"/>
              </c:numCache>
            </c:numRef>
          </c:cat>
          <c:val>
            <c:numRef>
              <c:f>'Perbandingan Komposit Vs CSP'!$AT$39:$AT$40</c:f>
              <c:numCache>
                <c:formatCode>General</c:formatCode>
                <c:ptCount val="2"/>
                <c:pt idx="1">
                  <c:v>23.77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0C72-47ED-883D-71C8E0B4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Komposit Vs CSP'!$AU$36</c:f>
              <c:strCache>
                <c:ptCount val="1"/>
                <c:pt idx="0">
                  <c:v>ϕVn
Beton Bertulang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C72-47ED-883D-71C8E0B480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C72-47ED-883D-71C8E0B4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Komposit Vs CSP'!$AV$36</c:f>
              <c:strCache>
                <c:ptCount val="1"/>
                <c:pt idx="0">
                  <c:v>ϕVn
Corrugated Steel</c:v>
                </c:pt>
              </c:strCache>
            </c:strRef>
          </c:cat>
          <c:val>
            <c:numRef>
              <c:f>'Perbandingan Komposit Vs CSP'!$AU$37:$AU$39</c:f>
              <c:numCache>
                <c:formatCode>0.00</c:formatCode>
                <c:ptCount val="3"/>
                <c:pt idx="0">
                  <c:v>611.30429945891035</c:v>
                </c:pt>
                <c:pt idx="1">
                  <c:v>611.30429945891035</c:v>
                </c:pt>
                <c:pt idx="2">
                  <c:v>611.30429945891035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0C72-47ED-883D-71C8E0B480E4}"/>
            </c:ext>
          </c:extLst>
        </c:ser>
        <c:ser>
          <c:idx val="5"/>
          <c:order val="1"/>
          <c:tx>
            <c:strRef>
              <c:f>'Perbandingan Komposit Vs CSP'!$AV$36</c:f>
              <c:strCache>
                <c:ptCount val="1"/>
                <c:pt idx="0">
                  <c:v>ϕVn
Corrugated Steel</c:v>
                </c:pt>
              </c:strCache>
            </c:strRef>
          </c:tx>
          <c:spPr>
            <a:ln>
              <a:solidFill>
                <a:schemeClr val="accent4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C72-47ED-883D-71C8E0B480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C72-47ED-883D-71C8E0B4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'Perbandingan Komposit Vs CSP'!$AV$36</c:f>
              <c:strCache>
                <c:ptCount val="1"/>
                <c:pt idx="0">
                  <c:v>ϕVn
Corrugated Steel</c:v>
                </c:pt>
              </c:strCache>
            </c:strRef>
          </c:cat>
          <c:val>
            <c:numRef>
              <c:f>'Perbandingan Komposit Vs CSP'!$AV$37:$AV$39</c:f>
              <c:numCache>
                <c:formatCode>0.00</c:formatCode>
                <c:ptCount val="3"/>
                <c:pt idx="0">
                  <c:v>1181.1743999999999</c:v>
                </c:pt>
                <c:pt idx="1">
                  <c:v>1181.1743999999999</c:v>
                </c:pt>
                <c:pt idx="2">
                  <c:v>1181.1743999999999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C72-47ED-883D-71C8E0B4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P2</a:t>
                </a:r>
              </a:p>
            </c:rich>
          </c:tx>
          <c:layout>
            <c:manualLayout>
              <c:xMode val="edge"/>
              <c:yMode val="edge"/>
              <c:x val="0.37811417878377318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Geser, V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522299654836049"/>
          <c:y val="0.55621901428988041"/>
          <c:w val="0.32024672657012082"/>
          <c:h val="0.37367308253135023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7617888254584E-2"/>
          <c:y val="4.7991111111111109E-2"/>
          <c:w val="0.90077190732837786"/>
          <c:h val="0.907545555555555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'Perbandingan Komposit Vs CSP'!$C$61</c:f>
              <c:strCache>
                <c:ptCount val="1"/>
                <c:pt idx="0">
                  <c:v>Komposit CSP+Beton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'Perbandingan Komposit Vs CSP'!$D$61:$F$61</c:f>
              <c:numCache>
                <c:formatCode>0.00</c:formatCode>
                <c:ptCount val="3"/>
                <c:pt idx="0">
                  <c:v>0.03</c:v>
                </c:pt>
                <c:pt idx="1">
                  <c:v>-0.11</c:v>
                </c:pt>
                <c:pt idx="2">
                  <c:v>-0.71</c:v>
                </c:pt>
              </c:numCache>
            </c:numRef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6021-4E12-BA83-A83918D843C6}"/>
            </c:ext>
          </c:extLst>
        </c:ser>
        <c:ser>
          <c:idx val="1"/>
          <c:order val="1"/>
          <c:tx>
            <c:strRef>
              <c:f>'Perbandingan Komposit Vs CSP'!$C$62</c:f>
              <c:strCache>
                <c:ptCount val="1"/>
                <c:pt idx="0">
                  <c:v>Corrugated Steel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'Perbandingan Komposit Vs CSP'!$D$62:$F$62</c:f>
              <c:numCache>
                <c:formatCode>0.00</c:formatCode>
                <c:ptCount val="3"/>
                <c:pt idx="0">
                  <c:v>0.06</c:v>
                </c:pt>
                <c:pt idx="1">
                  <c:v>0</c:v>
                </c:pt>
                <c:pt idx="2">
                  <c:v>-0.69</c:v>
                </c:pt>
              </c:numCache>
            </c:numRef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6021-4E12-BA83-A83918D843C6}"/>
            </c:ext>
          </c:extLst>
        </c:ser>
        <c:ser>
          <c:idx val="2"/>
          <c:order val="2"/>
          <c:tx>
            <c:v>σc ult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'Perbandingan Komposit Vs CSP'!$P$62</c:f>
              <c:numCache>
                <c:formatCode>0.000</c:formatCode>
                <c:ptCount val="1"/>
                <c:pt idx="0">
                  <c:v>-0.98330823529411771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021-4E12-BA83-A83918D843C6}"/>
            </c:ext>
          </c:extLst>
        </c:ser>
        <c:ser>
          <c:idx val="3"/>
          <c:order val="3"/>
          <c:tx>
            <c:v>σt ult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'Perbandingan Komposit Vs CSP'!$P$63</c:f>
              <c:numCache>
                <c:formatCode>0.000</c:formatCode>
                <c:ptCount val="1"/>
                <c:pt idx="0">
                  <c:v>0.10816390588235295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6021-4E12-BA83-A83918D8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68095"/>
        <c:axId val="1209883071"/>
      </c:scatterChart>
      <c:valAx>
        <c:axId val="1209868095"/>
        <c:scaling>
          <c:orientation val="minMax"/>
          <c:max val="0.4"/>
          <c:min val="-1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cross"/>
        <c:minorTickMark val="cross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209883071"/>
        <c:crosses val="autoZero"/>
        <c:crossBetween val="midCat"/>
        <c:majorUnit val="0.2"/>
        <c:minorUnit val="0.1"/>
      </c:valAx>
      <c:valAx>
        <c:axId val="1209883071"/>
        <c:scaling>
          <c:orientation val="minMax"/>
          <c:max val="0.8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cross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209868095"/>
        <c:crossesAt val="0"/>
        <c:crossBetween val="midCat"/>
        <c:majorUnit val="0.2"/>
        <c:min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7617888254584E-2"/>
          <c:y val="4.7991111111111109E-2"/>
          <c:w val="0.90077190732837786"/>
          <c:h val="0.907545555555555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'Perbandingan Komposit Vs CSP'!$C$67</c:f>
              <c:strCache>
                <c:ptCount val="1"/>
                <c:pt idx="0">
                  <c:v>Komposit CSP+Beton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'Perbandingan Komposit Vs CSP'!$D$67:$F$67</c:f>
              <c:numCache>
                <c:formatCode>0.00</c:formatCode>
                <c:ptCount val="3"/>
                <c:pt idx="0">
                  <c:v>0.24</c:v>
                </c:pt>
                <c:pt idx="1">
                  <c:v>-0.1</c:v>
                </c:pt>
                <c:pt idx="2">
                  <c:v>-0.56999999999999995</c:v>
                </c:pt>
              </c:numCache>
            </c:numRef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6021-4E12-BA83-A83918D843C6}"/>
            </c:ext>
          </c:extLst>
        </c:ser>
        <c:ser>
          <c:idx val="1"/>
          <c:order val="1"/>
          <c:tx>
            <c:strRef>
              <c:f>'Perbandingan Komposit Vs CSP'!$C$68</c:f>
              <c:strCache>
                <c:ptCount val="1"/>
                <c:pt idx="0">
                  <c:v>Corrugated Steel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'Perbandingan Komposit Vs CSP'!$D$68:$F$68</c:f>
              <c:numCache>
                <c:formatCode>0.00</c:formatCode>
                <c:ptCount val="3"/>
                <c:pt idx="0">
                  <c:v>0.4</c:v>
                </c:pt>
                <c:pt idx="1">
                  <c:v>0.04</c:v>
                </c:pt>
                <c:pt idx="2">
                  <c:v>-0.4</c:v>
                </c:pt>
              </c:numCache>
            </c:numRef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6021-4E12-BA83-A83918D843C6}"/>
            </c:ext>
          </c:extLst>
        </c:ser>
        <c:ser>
          <c:idx val="2"/>
          <c:order val="2"/>
          <c:tx>
            <c:v>σc ult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'Perbandingan Komposit Vs CSP'!$P$68</c:f>
              <c:numCache>
                <c:formatCode>0.000</c:formatCode>
                <c:ptCount val="1"/>
                <c:pt idx="0">
                  <c:v>-2.3082352941176474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021-4E12-BA83-A83918D843C6}"/>
            </c:ext>
          </c:extLst>
        </c:ser>
        <c:ser>
          <c:idx val="3"/>
          <c:order val="3"/>
          <c:tx>
            <c:v>σt ult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'Perbandingan Komposit Vs CSP'!$P$69</c:f>
              <c:numCache>
                <c:formatCode>0.000</c:formatCode>
                <c:ptCount val="1"/>
                <c:pt idx="0">
                  <c:v>0.2539058823529412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6021-4E12-BA83-A83918D8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68095"/>
        <c:axId val="1209883071"/>
      </c:scatterChart>
      <c:valAx>
        <c:axId val="1209868095"/>
        <c:scaling>
          <c:orientation val="minMax"/>
          <c:max val="0.5"/>
          <c:min val="-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cross"/>
        <c:minorTickMark val="cross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209883071"/>
        <c:crosses val="autoZero"/>
        <c:crossBetween val="midCat"/>
      </c:valAx>
      <c:valAx>
        <c:axId val="1209883071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cross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209868095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 Tegangan pada Serat Beton Terluar </a:t>
            </a:r>
            <a:br>
              <a:rPr lang="id-ID" sz="1200" b="0" i="0" baseline="0">
                <a:effectLst/>
              </a:rPr>
            </a:br>
            <a:r>
              <a:rPr lang="en-US" sz="1200" b="0" i="0" baseline="0">
                <a:effectLst/>
              </a:rPr>
              <a:t>P2</a:t>
            </a:r>
            <a:r>
              <a:rPr lang="id-ID" sz="1200" b="0" i="0" baseline="0">
                <a:effectLst/>
              </a:rPr>
              <a:t>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227726611941113"/>
          <c:y val="0.19351851851851848"/>
          <c:w val="0.60602055317763337"/>
          <c:h val="0.7261730825313502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Perencanaan'!$M$16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Perencanaan'!$M$15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Perencanaan'!$N$15:$N$16</c:f>
              <c:numCache>
                <c:formatCode>General</c:formatCode>
                <c:ptCount val="2"/>
                <c:pt idx="1">
                  <c:v>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Perencanaan'!$M$18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Perencanaan'!$M$15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Perencanaan'!$N$17:$N$18</c:f>
              <c:numCache>
                <c:formatCode>General</c:formatCode>
                <c:ptCount val="2"/>
                <c:pt idx="1">
                  <c:v>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Perencanaan'!$O$14</c:f>
              <c:strCache>
                <c:ptCount val="1"/>
                <c:pt idx="0">
                  <c:v>σ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Perencanaan'!$O$14</c:f>
              <c:strCache>
                <c:ptCount val="1"/>
                <c:pt idx="0">
                  <c:v>σ izin</c:v>
                </c:pt>
              </c:strCache>
            </c:strRef>
          </c:cat>
          <c:val>
            <c:numRef>
              <c:f>'Perbandingan Vs Perencanaan'!$O$15:$O$17</c:f>
              <c:numCache>
                <c:formatCode>0.00</c:formatCode>
                <c:ptCount val="3"/>
                <c:pt idx="0">
                  <c:v>13.5</c:v>
                </c:pt>
                <c:pt idx="1">
                  <c:v>13.5</c:v>
                </c:pt>
                <c:pt idx="2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P2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0240906857839481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53318022747156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Lendutan pada P1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2277253908119154"/>
          <c:y val="0.12870370370370371"/>
          <c:w val="0.60602041887457625"/>
          <c:h val="0.790987897346164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Perencanaan'!$I$39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Perencanaan'!$I$38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Perencanaan'!$J$38:$J$39</c:f>
              <c:numCache>
                <c:formatCode>0.00</c:formatCode>
                <c:ptCount val="2"/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Perencanaan'!$I$41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Perencanaan'!$I$38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Perencanaan'!$J$40:$J$41</c:f>
              <c:numCache>
                <c:formatCode>General</c:formatCode>
                <c:ptCount val="2"/>
                <c:pt idx="1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9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Perencanaan'!$K$37</c:f>
              <c:strCache>
                <c:ptCount val="1"/>
                <c:pt idx="0">
                  <c:v>δ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Perencanaan'!$K$37</c:f>
              <c:strCache>
                <c:ptCount val="1"/>
                <c:pt idx="0">
                  <c:v>δ izin</c:v>
                </c:pt>
              </c:strCache>
            </c:strRef>
          </c:cat>
          <c:val>
            <c:numRef>
              <c:f>'Perbandingan Vs Perencanaan'!$K$38:$K$40</c:f>
              <c:numCache>
                <c:formatCode>0.00</c:formatCode>
                <c:ptCount val="3"/>
                <c:pt idx="0">
                  <c:v>31.265625</c:v>
                </c:pt>
                <c:pt idx="1">
                  <c:v>31.265625</c:v>
                </c:pt>
                <c:pt idx="2">
                  <c:v>31.265625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39551111778576864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Lendutan, </a:t>
                </a:r>
                <a:r>
                  <a:rPr lang="el-GR" sz="900" b="0" i="0" baseline="0">
                    <a:effectLst/>
                  </a:rPr>
                  <a:t>δ</a:t>
                </a:r>
                <a:r>
                  <a:rPr lang="id-ID" sz="900" b="0" i="0" baseline="0">
                    <a:effectLst/>
                  </a:rPr>
                  <a:t> (mm)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Lendutan pada P2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358552271782643"/>
          <c:y val="0.12870370370370371"/>
          <c:w val="0.58520770896681451"/>
          <c:h val="0.790987897346164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Perencanaan'!$M$39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Perencanaan'!$M$38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Perencanaan'!$N$38:$N$39</c:f>
              <c:numCache>
                <c:formatCode>General</c:formatCode>
                <c:ptCount val="2"/>
                <c:pt idx="1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Perencanaan'!$M$41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Perencanaan'!$M$38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Perencanaan'!$N$40:$N$41</c:f>
              <c:numCache>
                <c:formatCode>General</c:formatCode>
                <c:ptCount val="2"/>
                <c:pt idx="1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Perencanaan'!$O$37</c:f>
              <c:strCache>
                <c:ptCount val="1"/>
                <c:pt idx="0">
                  <c:v>δ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Perencanaan'!$O$37</c:f>
              <c:strCache>
                <c:ptCount val="1"/>
                <c:pt idx="0">
                  <c:v>δ izin</c:v>
                </c:pt>
              </c:strCache>
            </c:strRef>
          </c:cat>
          <c:val>
            <c:numRef>
              <c:f>'Perbandingan Vs Perencanaan'!$O$38:$O$40</c:f>
              <c:numCache>
                <c:formatCode>0.00</c:formatCode>
                <c:ptCount val="3"/>
                <c:pt idx="0">
                  <c:v>15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</a:t>
                </a:r>
                <a:r>
                  <a:rPr lang="id-ID" sz="900"/>
                  <a:t>2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Lendutan, </a:t>
                </a:r>
                <a:r>
                  <a:rPr lang="el-GR" sz="900" b="0" i="0" baseline="0">
                    <a:effectLst/>
                  </a:rPr>
                  <a:t>δ</a:t>
                </a:r>
                <a:r>
                  <a:rPr lang="id-ID" sz="900" b="0" i="0" baseline="0">
                    <a:effectLst/>
                  </a:rPr>
                  <a:t> (mm)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25540244969378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  <c:majorUnit val="2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Tegangan pada Serat Beton Terluar </a:t>
            </a:r>
            <a:br>
              <a:rPr lang="id-ID" sz="1200" b="0" i="0" baseline="0">
                <a:effectLst/>
              </a:rPr>
            </a:br>
            <a:r>
              <a:rPr lang="en-US" sz="1200" b="0" i="0" baseline="0">
                <a:effectLst/>
              </a:rPr>
              <a:t>P</a:t>
            </a:r>
            <a:r>
              <a:rPr lang="id-ID" sz="1200" b="0" i="0" baseline="0">
                <a:effectLst/>
              </a:rPr>
              <a:t>1 Layan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1932368579779823"/>
          <c:y val="0.19351851851851848"/>
          <c:w val="0.60946952857394643"/>
          <c:h val="0.7261730825313502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Perencanaan'!$I$16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Perencanaan'!$I$15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Perencanaan'!$J$15:$J$16</c:f>
              <c:numCache>
                <c:formatCode>General</c:formatCode>
                <c:ptCount val="2"/>
                <c:pt idx="1">
                  <c:v>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Perencanaan'!$I$18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Perencanaan'!$I$15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Perencanaan'!$J$17:$J$18</c:f>
              <c:numCache>
                <c:formatCode>General</c:formatCode>
                <c:ptCount val="2"/>
                <c:pt idx="1">
                  <c:v>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Perencanaan'!$K$14</c:f>
              <c:strCache>
                <c:ptCount val="1"/>
                <c:pt idx="0">
                  <c:v>σ izin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Perencanaan'!$K$14</c:f>
              <c:strCache>
                <c:ptCount val="1"/>
                <c:pt idx="0">
                  <c:v>σ izin</c:v>
                </c:pt>
              </c:strCache>
            </c:strRef>
          </c:cat>
          <c:val>
            <c:numRef>
              <c:f>'Perbandingan Vs Perencanaan'!$K$15:$K$17</c:f>
              <c:numCache>
                <c:formatCode>0.00</c:formatCode>
                <c:ptCount val="3"/>
                <c:pt idx="0">
                  <c:v>13.5</c:v>
                </c:pt>
                <c:pt idx="1">
                  <c:v>13.5</c:v>
                </c:pt>
                <c:pt idx="2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/>
                  <a:t>P1</a:t>
                </a:r>
              </a:p>
            </c:rich>
          </c:tx>
          <c:layout>
            <c:manualLayout>
              <c:xMode val="edge"/>
              <c:yMode val="edge"/>
              <c:x val="0.39896009318208175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Tegangan, </a:t>
                </a:r>
                <a:r>
                  <a:rPr lang="el-GR" sz="900" b="0" i="0" baseline="0">
                    <a:effectLst/>
                  </a:rPr>
                  <a:t>σ</a:t>
                </a:r>
                <a:r>
                  <a:rPr lang="id-ID" sz="900" b="0" i="0" baseline="0">
                    <a:effectLst/>
                  </a:rPr>
                  <a:t> (MPa)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2E-2"/>
              <c:y val="0.3579476523767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Kontrol Gaya Geser pada P1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5381343976092898"/>
          <c:y val="0.12870370370370371"/>
          <c:w val="0.57497977461081573"/>
          <c:h val="0.790987897346164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Perencanaan'!$Y$39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Perencanaan'!$Y$38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Perencanaan'!$Z$38:$Z$39</c:f>
              <c:numCache>
                <c:formatCode>0.00</c:formatCode>
                <c:ptCount val="2"/>
                <c:pt idx="1">
                  <c:v>228.78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Perencanaan'!$Y$41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Perencanaan'!$Y$38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Perencanaan'!$Z$40:$Z$41</c:f>
              <c:numCache>
                <c:formatCode>General</c:formatCode>
                <c:ptCount val="2"/>
                <c:pt idx="1">
                  <c:v>252.29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Perencanaan'!$AA$37</c:f>
              <c:strCache>
                <c:ptCount val="1"/>
                <c:pt idx="0">
                  <c:v>ϕVn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Perencanaan'!$AA$37</c:f>
              <c:strCache>
                <c:ptCount val="1"/>
                <c:pt idx="0">
                  <c:v>ϕVn</c:v>
                </c:pt>
              </c:strCache>
            </c:strRef>
          </c:cat>
          <c:val>
            <c:numRef>
              <c:f>'Perbandingan Vs Perencanaan'!$AA$38:$AA$40</c:f>
              <c:numCache>
                <c:formatCode>0.00</c:formatCode>
                <c:ptCount val="3"/>
                <c:pt idx="0">
                  <c:v>1751.598096329029</c:v>
                </c:pt>
                <c:pt idx="1">
                  <c:v>1751.598096329029</c:v>
                </c:pt>
                <c:pt idx="2">
                  <c:v>1751.598096329029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0930695968603031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Geser, V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Kontrol Gaya Geser pada P2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4001753817567666"/>
          <c:y val="0.12870370370370371"/>
          <c:w val="0.58877567619606797"/>
          <c:h val="0.790987897346164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'Perbandingan Vs Perencanaan'!$AC$39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Perencanaan'!$AC$38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Perencanaan'!$AD$38:$AD$39</c:f>
              <c:numCache>
                <c:formatCode>General</c:formatCode>
                <c:ptCount val="2"/>
                <c:pt idx="1">
                  <c:v>182.72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2"/>
          <c:tx>
            <c:strRef>
              <c:f>'Perbandingan Vs Perencanaan'!$AC$41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Perencanaan'!$AC$38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Perencanaan'!$AD$40:$AD$41</c:f>
              <c:numCache>
                <c:formatCode>General</c:formatCode>
                <c:ptCount val="2"/>
                <c:pt idx="1">
                  <c:v>107.63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50"/>
        <c:axId val="1501363967"/>
        <c:axId val="1501354399"/>
      </c:barChart>
      <c:lineChart>
        <c:grouping val="standard"/>
        <c:varyColors val="0"/>
        <c:ser>
          <c:idx val="1"/>
          <c:order val="0"/>
          <c:tx>
            <c:strRef>
              <c:f>'Perbandingan Vs Perencanaan'!$AE$37</c:f>
              <c:strCache>
                <c:ptCount val="1"/>
                <c:pt idx="0">
                  <c:v>ϕVn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3-491E-AB67-1084B819C9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3-491E-AB67-1084B81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'Perbandingan Vs Perencanaan'!$AE$37</c:f>
              <c:strCache>
                <c:ptCount val="1"/>
                <c:pt idx="0">
                  <c:v>ϕVn</c:v>
                </c:pt>
              </c:strCache>
            </c:strRef>
          </c:cat>
          <c:val>
            <c:numRef>
              <c:f>'Perbandingan Vs Perencanaan'!$AE$38:$AE$40</c:f>
              <c:numCache>
                <c:formatCode>0.00</c:formatCode>
                <c:ptCount val="3"/>
                <c:pt idx="0">
                  <c:v>613.1376878802804</c:v>
                </c:pt>
                <c:pt idx="1">
                  <c:v>613.1376878802804</c:v>
                </c:pt>
                <c:pt idx="2">
                  <c:v>613.1376878802804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3-491E-AB67-1084B819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1363967"/>
        <c:axId val="1501354399"/>
      </c:line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0930695968603031"/>
              <c:y val="0.9236111111111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Geser, V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4006333062779"/>
          <c:y val="0.47454615048118987"/>
          <c:w val="0.27526001065108779"/>
          <c:h val="0.2203521434820647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1200" b="0" i="0" baseline="0">
                <a:effectLst/>
              </a:rPr>
              <a:t>Gaya Aksial pada P1 Kuat I</a:t>
            </a:r>
            <a:endParaRPr lang="id-ID" sz="1050">
              <a:effectLst/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6416036594986816"/>
          <c:y val="0.12870370370370371"/>
          <c:w val="0.56463284842187644"/>
          <c:h val="0.79098789734616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'Perbandingan Vs Perencanaan'!$R$16</c:f>
              <c:strCache>
                <c:ptCount val="1"/>
                <c:pt idx="0">
                  <c:v>Perencanaan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Perencanaan'!$S$16:$T$16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-1666.19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3-491E-AB67-1084B819C9AD}"/>
            </c:ext>
          </c:extLst>
        </c:ser>
        <c:ser>
          <c:idx val="2"/>
          <c:order val="1"/>
          <c:tx>
            <c:strRef>
              <c:f>'Perbandingan Vs Perencanaan'!$R$17</c:f>
              <c:strCache>
                <c:ptCount val="1"/>
                <c:pt idx="0">
                  <c:v>Evaluasi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'Perbandingan Vs Perencanaan'!$Q$13</c:f>
              <c:numCache>
                <c:formatCode>General</c:formatCode>
                <c:ptCount val="1"/>
              </c:numCache>
            </c:numRef>
          </c:cat>
          <c:val>
            <c:numRef>
              <c:f>'Perbandingan Vs Perencanaan'!$S$17:$T$17</c:f>
              <c:numCache>
                <c:formatCode>0.00</c:formatCode>
                <c:ptCount val="2"/>
                <c:pt idx="0" formatCode="General">
                  <c:v>540.23</c:v>
                </c:pt>
                <c:pt idx="1">
                  <c:v>-866.63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3-491E-AB67-1084B81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01363967"/>
        <c:axId val="1501354399"/>
      </c:barChart>
      <c:catAx>
        <c:axId val="150136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/>
                  <a:t>P1</a:t>
                </a:r>
                <a:endParaRPr lang="id-ID" sz="900"/>
              </a:p>
            </c:rich>
          </c:tx>
          <c:layout>
            <c:manualLayout>
              <c:xMode val="edge"/>
              <c:yMode val="edge"/>
              <c:x val="0.41965394555996016"/>
              <c:y val="0.395833333333333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54399"/>
        <c:crosses val="autoZero"/>
        <c:auto val="0"/>
        <c:lblAlgn val="ctr"/>
        <c:lblOffset val="100"/>
        <c:tickMarkSkip val="1"/>
        <c:noMultiLvlLbl val="0"/>
      </c:catAx>
      <c:valAx>
        <c:axId val="150135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 sz="900" b="0" i="0" baseline="0">
                    <a:effectLst/>
                  </a:rPr>
                  <a:t>Gaya Aksial, Fx (kN)</a:t>
                </a:r>
                <a:endParaRPr lang="id-ID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801333042569319E-2"/>
              <c:y val="0.33479950422863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50136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8541482619472"/>
          <c:y val="0.41914187809857101"/>
          <c:w val="0.20915211664973171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13" Type="http://schemas.openxmlformats.org/officeDocument/2006/relationships/chart" Target="../charts/chart21.xml"/><Relationship Id="rId18" Type="http://schemas.openxmlformats.org/officeDocument/2006/relationships/image" Target="../media/image18.png"/><Relationship Id="rId3" Type="http://schemas.openxmlformats.org/officeDocument/2006/relationships/image" Target="../media/image15.png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17" Type="http://schemas.openxmlformats.org/officeDocument/2006/relationships/image" Target="../media/image17.png"/><Relationship Id="rId2" Type="http://schemas.openxmlformats.org/officeDocument/2006/relationships/image" Target="../media/image14.png"/><Relationship Id="rId16" Type="http://schemas.openxmlformats.org/officeDocument/2006/relationships/chart" Target="../charts/chart24.xml"/><Relationship Id="rId20" Type="http://schemas.openxmlformats.org/officeDocument/2006/relationships/chart" Target="../charts/chart26.xml"/><Relationship Id="rId1" Type="http://schemas.openxmlformats.org/officeDocument/2006/relationships/image" Target="../media/image13.png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5" Type="http://schemas.openxmlformats.org/officeDocument/2006/relationships/chart" Target="../charts/chart23.xml"/><Relationship Id="rId10" Type="http://schemas.openxmlformats.org/officeDocument/2006/relationships/chart" Target="../charts/chart18.xml"/><Relationship Id="rId19" Type="http://schemas.openxmlformats.org/officeDocument/2006/relationships/chart" Target="../charts/chart25.xml"/><Relationship Id="rId4" Type="http://schemas.openxmlformats.org/officeDocument/2006/relationships/image" Target="../media/image16.png"/><Relationship Id="rId9" Type="http://schemas.openxmlformats.org/officeDocument/2006/relationships/chart" Target="../charts/chart17.xml"/><Relationship Id="rId14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image" Target="../media/image13.png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</xdr:colOff>
      <xdr:row>36</xdr:row>
      <xdr:rowOff>104775</xdr:rowOff>
    </xdr:from>
    <xdr:ext cx="4975260" cy="3045814"/>
    <xdr:pic>
      <xdr:nvPicPr>
        <xdr:cNvPr id="2" name="Picture 1">
          <a:extLst>
            <a:ext uri="{FF2B5EF4-FFF2-40B4-BE49-F238E27FC236}">
              <a16:creationId xmlns:a16="http://schemas.microsoft.com/office/drawing/2014/main" id="{DE62BDFD-337D-4C4C-A44B-AC5CE115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13211175"/>
          <a:ext cx="4975260" cy="3045814"/>
        </a:xfrm>
        <a:prstGeom prst="rect">
          <a:avLst/>
        </a:prstGeom>
      </xdr:spPr>
    </xdr:pic>
    <xdr:clientData/>
  </xdr:oneCellAnchor>
  <xdr:twoCellAnchor editAs="oneCell">
    <xdr:from>
      <xdr:col>3</xdr:col>
      <xdr:colOff>57150</xdr:colOff>
      <xdr:row>83</xdr:row>
      <xdr:rowOff>47625</xdr:rowOff>
    </xdr:from>
    <xdr:to>
      <xdr:col>4</xdr:col>
      <xdr:colOff>621800</xdr:colOff>
      <xdr:row>86</xdr:row>
      <xdr:rowOff>528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F0F043-B4D8-439F-BCBC-579B9A1F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20774025"/>
          <a:ext cx="1793375" cy="52440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91</xdr:row>
      <xdr:rowOff>28576</xdr:rowOff>
    </xdr:from>
    <xdr:to>
      <xdr:col>3</xdr:col>
      <xdr:colOff>962025</xdr:colOff>
      <xdr:row>93</xdr:row>
      <xdr:rowOff>138202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97ED84-C718-424D-B164-B43B116A8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25" y="22278976"/>
          <a:ext cx="866775" cy="4906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301999</xdr:colOff>
      <xdr:row>0</xdr:row>
      <xdr:rowOff>0</xdr:rowOff>
    </xdr:from>
    <xdr:to>
      <xdr:col>37</xdr:col>
      <xdr:colOff>275880</xdr:colOff>
      <xdr:row>10</xdr:row>
      <xdr:rowOff>124358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7D18CF-0F89-4D04-B586-D259410BD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02793" y="0"/>
          <a:ext cx="3436498" cy="2051770"/>
        </a:xfrm>
        <a:prstGeom prst="rect">
          <a:avLst/>
        </a:prstGeom>
      </xdr:spPr>
    </xdr:pic>
    <xdr:clientData/>
  </xdr:twoCellAnchor>
  <xdr:twoCellAnchor editAs="oneCell">
    <xdr:from>
      <xdr:col>13</xdr:col>
      <xdr:colOff>493058</xdr:colOff>
      <xdr:row>40</xdr:row>
      <xdr:rowOff>327771</xdr:rowOff>
    </xdr:from>
    <xdr:to>
      <xdr:col>21</xdr:col>
      <xdr:colOff>31257</xdr:colOff>
      <xdr:row>55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A21427-D723-4D91-B51F-6D0F2FA01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685" b="10685"/>
        <a:stretch/>
      </xdr:blipFill>
      <xdr:spPr>
        <a:xfrm>
          <a:off x="8532158" y="9319371"/>
          <a:ext cx="4405475" cy="2767854"/>
        </a:xfrm>
        <a:prstGeom prst="rect">
          <a:avLst/>
        </a:prstGeom>
      </xdr:spPr>
    </xdr:pic>
    <xdr:clientData/>
  </xdr:twoCellAnchor>
  <xdr:twoCellAnchor>
    <xdr:from>
      <xdr:col>16</xdr:col>
      <xdr:colOff>245579</xdr:colOff>
      <xdr:row>13</xdr:row>
      <xdr:rowOff>47063</xdr:rowOff>
    </xdr:from>
    <xdr:to>
      <xdr:col>21</xdr:col>
      <xdr:colOff>315934</xdr:colOff>
      <xdr:row>34</xdr:row>
      <xdr:rowOff>100853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876A8DDE-5C73-42A5-9FA4-FD8274A24002}"/>
            </a:ext>
          </a:extLst>
        </xdr:cNvPr>
        <xdr:cNvGrpSpPr/>
      </xdr:nvGrpSpPr>
      <xdr:grpSpPr>
        <a:xfrm>
          <a:off x="10927186" y="2537170"/>
          <a:ext cx="3131962" cy="4802683"/>
          <a:chOff x="5791200" y="0"/>
          <a:chExt cx="3362943" cy="5387614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0EDC47ED-7B36-4AB9-9036-A7C53F5FAE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791200" y="0"/>
            <a:ext cx="3347835" cy="4068009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AEA6D1BC-9870-466C-B349-A6DEC2315B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829300" y="4029076"/>
            <a:ext cx="3324843" cy="135853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112058</xdr:colOff>
      <xdr:row>19</xdr:row>
      <xdr:rowOff>33618</xdr:rowOff>
    </xdr:from>
    <xdr:to>
      <xdr:col>5</xdr:col>
      <xdr:colOff>367712</xdr:colOff>
      <xdr:row>33</xdr:row>
      <xdr:rowOff>109818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C88D50E-5CCD-4355-8856-94B1B5053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596312</xdr:colOff>
      <xdr:row>19</xdr:row>
      <xdr:rowOff>33618</xdr:rowOff>
    </xdr:from>
    <xdr:to>
      <xdr:col>11</xdr:col>
      <xdr:colOff>80360</xdr:colOff>
      <xdr:row>33</xdr:row>
      <xdr:rowOff>109818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84102FA-1FF2-4692-8FE9-97FBF8284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112058</xdr:colOff>
      <xdr:row>41</xdr:row>
      <xdr:rowOff>100853</xdr:rowOff>
    </xdr:from>
    <xdr:to>
      <xdr:col>5</xdr:col>
      <xdr:colOff>367712</xdr:colOff>
      <xdr:row>55</xdr:row>
      <xdr:rowOff>177053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0EFA761-3EC8-4616-AA13-D75834AEC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607518</xdr:colOff>
      <xdr:row>41</xdr:row>
      <xdr:rowOff>100853</xdr:rowOff>
    </xdr:from>
    <xdr:to>
      <xdr:col>11</xdr:col>
      <xdr:colOff>91567</xdr:colOff>
      <xdr:row>55</xdr:row>
      <xdr:rowOff>177053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C2696D7-129B-4D33-846E-61A609D22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70</xdr:row>
      <xdr:rowOff>1</xdr:rowOff>
    </xdr:from>
    <xdr:to>
      <xdr:col>5</xdr:col>
      <xdr:colOff>255654</xdr:colOff>
      <xdr:row>83</xdr:row>
      <xdr:rowOff>89647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50D7A14B-B649-479C-AEF5-79D92683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461842</xdr:colOff>
      <xdr:row>70</xdr:row>
      <xdr:rowOff>1</xdr:rowOff>
    </xdr:from>
    <xdr:to>
      <xdr:col>10</xdr:col>
      <xdr:colOff>599034</xdr:colOff>
      <xdr:row>83</xdr:row>
      <xdr:rowOff>89647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0CA1D06-3E90-4F62-A110-C1D3E8D22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156882</xdr:colOff>
      <xdr:row>19</xdr:row>
      <xdr:rowOff>112059</xdr:rowOff>
    </xdr:from>
    <xdr:to>
      <xdr:col>27</xdr:col>
      <xdr:colOff>543486</xdr:colOff>
      <xdr:row>33</xdr:row>
      <xdr:rowOff>188259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A9E1561-4F6F-4BF4-86E2-776A0951D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28</xdr:col>
      <xdr:colOff>0</xdr:colOff>
      <xdr:row>19</xdr:row>
      <xdr:rowOff>112059</xdr:rowOff>
    </xdr:from>
    <xdr:to>
      <xdr:col>33</xdr:col>
      <xdr:colOff>180895</xdr:colOff>
      <xdr:row>33</xdr:row>
      <xdr:rowOff>188259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73A5098A-B4FE-48E8-BAB3-BED0A8F55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560294</xdr:colOff>
      <xdr:row>19</xdr:row>
      <xdr:rowOff>112059</xdr:rowOff>
    </xdr:from>
    <xdr:to>
      <xdr:col>40</xdr:col>
      <xdr:colOff>319368</xdr:colOff>
      <xdr:row>33</xdr:row>
      <xdr:rowOff>188259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2912827E-8742-4713-852D-FE564642C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537882</xdr:colOff>
      <xdr:row>19</xdr:row>
      <xdr:rowOff>112059</xdr:rowOff>
    </xdr:from>
    <xdr:to>
      <xdr:col>46</xdr:col>
      <xdr:colOff>577103</xdr:colOff>
      <xdr:row>33</xdr:row>
      <xdr:rowOff>188259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6A6E15B1-834B-47A8-8069-94C01A03A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139272</xdr:colOff>
      <xdr:row>41</xdr:row>
      <xdr:rowOff>100853</xdr:rowOff>
    </xdr:from>
    <xdr:to>
      <xdr:col>29</xdr:col>
      <xdr:colOff>459441</xdr:colOff>
      <xdr:row>55</xdr:row>
      <xdr:rowOff>177053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4781C03-F6C9-45E4-86C3-331D850B9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72837</xdr:colOff>
      <xdr:row>41</xdr:row>
      <xdr:rowOff>100853</xdr:rowOff>
    </xdr:from>
    <xdr:to>
      <xdr:col>36</xdr:col>
      <xdr:colOff>72038</xdr:colOff>
      <xdr:row>55</xdr:row>
      <xdr:rowOff>177053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BFEAFD92-E18B-4895-A53A-B649FE09C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18</xdr:col>
      <xdr:colOff>142875</xdr:colOff>
      <xdr:row>57</xdr:row>
      <xdr:rowOff>142875</xdr:rowOff>
    </xdr:from>
    <xdr:to>
      <xdr:col>23</xdr:col>
      <xdr:colOff>390997</xdr:colOff>
      <xdr:row>62</xdr:row>
      <xdr:rowOff>238351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31212C3-CC8A-4636-86AA-D7193B392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220450" y="12563475"/>
          <a:ext cx="3391373" cy="1619476"/>
        </a:xfrm>
        <a:prstGeom prst="rect">
          <a:avLst/>
        </a:prstGeom>
      </xdr:spPr>
    </xdr:pic>
    <xdr:clientData/>
  </xdr:twoCellAnchor>
  <xdr:twoCellAnchor editAs="oneCell">
    <xdr:from>
      <xdr:col>18</xdr:col>
      <xdr:colOff>85725</xdr:colOff>
      <xdr:row>62</xdr:row>
      <xdr:rowOff>198074</xdr:rowOff>
    </xdr:from>
    <xdr:to>
      <xdr:col>25</xdr:col>
      <xdr:colOff>66675</xdr:colOff>
      <xdr:row>68</xdr:row>
      <xdr:rowOff>105110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4AFF883-CF1C-4CC6-8E48-0515D3196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163300" y="14142674"/>
          <a:ext cx="4343400" cy="1621536"/>
        </a:xfrm>
        <a:prstGeom prst="rect">
          <a:avLst/>
        </a:prstGeom>
      </xdr:spPr>
    </xdr:pic>
    <xdr:clientData/>
  </xdr:twoCellAnchor>
  <xdr:twoCellAnchor>
    <xdr:from>
      <xdr:col>26</xdr:col>
      <xdr:colOff>568946</xdr:colOff>
      <xdr:row>58</xdr:row>
      <xdr:rowOff>95723</xdr:rowOff>
    </xdr:from>
    <xdr:to>
      <xdr:col>32</xdr:col>
      <xdr:colOff>616565</xdr:colOff>
      <xdr:row>74</xdr:row>
      <xdr:rowOff>34223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20A9E0B6-7C19-4185-922C-8CD811B6F4E4}"/>
            </a:ext>
          </a:extLst>
        </xdr:cNvPr>
        <xdr:cNvGrpSpPr>
          <a:grpSpLocks noChangeAspect="1"/>
        </xdr:cNvGrpSpPr>
      </xdr:nvGrpSpPr>
      <xdr:grpSpPr>
        <a:xfrm>
          <a:off x="17469017" y="12682330"/>
          <a:ext cx="4320262" cy="4510500"/>
          <a:chOff x="15704155" y="12680969"/>
          <a:chExt cx="5410883" cy="5400000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37D58B27-0A53-4C2E-AD37-67EC733956FC}"/>
              </a:ext>
            </a:extLst>
          </xdr:cNvPr>
          <xdr:cNvGrpSpPr/>
        </xdr:nvGrpSpPr>
        <xdr:grpSpPr>
          <a:xfrm>
            <a:off x="15704155" y="12680969"/>
            <a:ext cx="5410883" cy="5400000"/>
            <a:chOff x="15645652" y="12691855"/>
            <a:chExt cx="3600000" cy="3600000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5A642844-7BA4-4854-9C0A-11F50087D1BA}"/>
                </a:ext>
              </a:extLst>
            </xdr:cNvPr>
            <xdr:cNvGraphicFramePr/>
          </xdr:nvGraphicFramePr>
          <xdr:xfrm>
            <a:off x="15645652" y="12691855"/>
            <a:ext cx="3600000" cy="360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9"/>
            </a:graphicData>
          </a:graphic>
        </xdr:graphicFrame>
        <xdr:grpSp>
          <xdr:nvGrpSpPr>
            <xdr:cNvPr id="52" name="Group 51">
              <a:extLst>
                <a:ext uri="{FF2B5EF4-FFF2-40B4-BE49-F238E27FC236}">
                  <a16:creationId xmlns:a16="http://schemas.microsoft.com/office/drawing/2014/main" id="{EB685701-AB2A-4305-ABE7-C4616BA77368}"/>
                </a:ext>
              </a:extLst>
            </xdr:cNvPr>
            <xdr:cNvGrpSpPr/>
          </xdr:nvGrpSpPr>
          <xdr:grpSpPr>
            <a:xfrm>
              <a:off x="15912990" y="12877879"/>
              <a:ext cx="2607693" cy="3238422"/>
              <a:chOff x="15881484" y="12883741"/>
              <a:chExt cx="2604762" cy="3238422"/>
            </a:xfrm>
          </xdr:grpSpPr>
          <xdr:grpSp>
            <xdr:nvGrpSpPr>
              <xdr:cNvPr id="17" name="Group 16">
                <a:extLst>
                  <a:ext uri="{FF2B5EF4-FFF2-40B4-BE49-F238E27FC236}">
                    <a16:creationId xmlns:a16="http://schemas.microsoft.com/office/drawing/2014/main" id="{1726BFDF-1CED-40CD-AC71-668819A72008}"/>
                  </a:ext>
                </a:extLst>
              </xdr:cNvPr>
              <xdr:cNvGrpSpPr/>
            </xdr:nvGrpSpPr>
            <xdr:grpSpPr>
              <a:xfrm>
                <a:off x="16787701" y="13749208"/>
                <a:ext cx="1500587" cy="1506328"/>
                <a:chOff x="9274830" y="14327320"/>
                <a:chExt cx="1004549" cy="1005130"/>
              </a:xfrm>
            </xdr:grpSpPr>
            <xdr:sp macro="" textlink="">
              <xdr:nvSpPr>
                <xdr:cNvPr id="4" name="Oval 3">
                  <a:extLst>
                    <a:ext uri="{FF2B5EF4-FFF2-40B4-BE49-F238E27FC236}">
                      <a16:creationId xmlns:a16="http://schemas.microsoft.com/office/drawing/2014/main" id="{29179F5A-4A56-40CD-AADC-F7AB7B09BA60}"/>
                    </a:ext>
                  </a:extLst>
                </xdr:cNvPr>
                <xdr:cNvSpPr/>
              </xdr:nvSpPr>
              <xdr:spPr>
                <a:xfrm>
                  <a:off x="9274830" y="14327320"/>
                  <a:ext cx="1004549" cy="1005130"/>
                </a:xfrm>
                <a:prstGeom prst="ellipse">
                  <a:avLst/>
                </a:prstGeom>
                <a:noFill/>
                <a:ln w="12700"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23" name="Oval 22">
                  <a:extLst>
                    <a:ext uri="{FF2B5EF4-FFF2-40B4-BE49-F238E27FC236}">
                      <a16:creationId xmlns:a16="http://schemas.microsoft.com/office/drawing/2014/main" id="{AB880903-BCB0-4208-9131-F2909EC875F7}"/>
                    </a:ext>
                  </a:extLst>
                </xdr:cNvPr>
                <xdr:cNvSpPr/>
              </xdr:nvSpPr>
              <xdr:spPr>
                <a:xfrm>
                  <a:off x="10091949" y="14737006"/>
                  <a:ext cx="185653" cy="185758"/>
                </a:xfrm>
                <a:prstGeom prst="ellipse">
                  <a:avLst/>
                </a:prstGeom>
                <a:noFill/>
                <a:ln w="9525"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24" name="Oval 23">
                  <a:extLst>
                    <a:ext uri="{FF2B5EF4-FFF2-40B4-BE49-F238E27FC236}">
                      <a16:creationId xmlns:a16="http://schemas.microsoft.com/office/drawing/2014/main" id="{06551ADD-7AAF-4472-96EA-870682592814}"/>
                    </a:ext>
                  </a:extLst>
                </xdr:cNvPr>
                <xdr:cNvSpPr/>
              </xdr:nvSpPr>
              <xdr:spPr>
                <a:xfrm>
                  <a:off x="9277350" y="14421337"/>
                  <a:ext cx="816630" cy="817096"/>
                </a:xfrm>
                <a:prstGeom prst="ellipse">
                  <a:avLst/>
                </a:prstGeom>
                <a:noFill/>
                <a:ln w="9525"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</xdr:grpSp>
          <xdr:grpSp>
            <xdr:nvGrpSpPr>
              <xdr:cNvPr id="25" name="Group 24">
                <a:extLst>
                  <a:ext uri="{FF2B5EF4-FFF2-40B4-BE49-F238E27FC236}">
                    <a16:creationId xmlns:a16="http://schemas.microsoft.com/office/drawing/2014/main" id="{D91AF23E-A4F8-4A1B-A742-FE93072B24D7}"/>
                  </a:ext>
                </a:extLst>
              </xdr:cNvPr>
              <xdr:cNvGrpSpPr/>
            </xdr:nvGrpSpPr>
            <xdr:grpSpPr>
              <a:xfrm>
                <a:off x="16829250" y="13739934"/>
                <a:ext cx="1527099" cy="1529298"/>
                <a:chOff x="9272836" y="14327320"/>
                <a:chExt cx="1006877" cy="1005130"/>
              </a:xfrm>
            </xdr:grpSpPr>
            <xdr:sp macro="" textlink="">
              <xdr:nvSpPr>
                <xdr:cNvPr id="26" name="Oval 25">
                  <a:extLst>
                    <a:ext uri="{FF2B5EF4-FFF2-40B4-BE49-F238E27FC236}">
                      <a16:creationId xmlns:a16="http://schemas.microsoft.com/office/drawing/2014/main" id="{1B7CC768-9C9C-4F37-AC5E-C96A456BA6A2}"/>
                    </a:ext>
                  </a:extLst>
                </xdr:cNvPr>
                <xdr:cNvSpPr/>
              </xdr:nvSpPr>
              <xdr:spPr>
                <a:xfrm>
                  <a:off x="9274830" y="14327320"/>
                  <a:ext cx="1004549" cy="1005130"/>
                </a:xfrm>
                <a:prstGeom prst="ellipse">
                  <a:avLst/>
                </a:prstGeom>
                <a:noFill/>
                <a:ln w="12700">
                  <a:solidFill>
                    <a:schemeClr val="accent2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27" name="Oval 26">
                  <a:extLst>
                    <a:ext uri="{FF2B5EF4-FFF2-40B4-BE49-F238E27FC236}">
                      <a16:creationId xmlns:a16="http://schemas.microsoft.com/office/drawing/2014/main" id="{7148F26C-4E0B-4877-9CD1-8B9E80F45C74}"/>
                    </a:ext>
                  </a:extLst>
                </xdr:cNvPr>
                <xdr:cNvSpPr/>
              </xdr:nvSpPr>
              <xdr:spPr>
                <a:xfrm>
                  <a:off x="10198352" y="14789182"/>
                  <a:ext cx="81361" cy="81408"/>
                </a:xfrm>
                <a:prstGeom prst="ellipse">
                  <a:avLst/>
                </a:prstGeom>
                <a:noFill/>
                <a:ln w="9525">
                  <a:solidFill>
                    <a:schemeClr val="accent2"/>
                  </a:solidFill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28" name="Oval 27">
                  <a:extLst>
                    <a:ext uri="{FF2B5EF4-FFF2-40B4-BE49-F238E27FC236}">
                      <a16:creationId xmlns:a16="http://schemas.microsoft.com/office/drawing/2014/main" id="{92818F4B-D90B-46B5-9F51-5E31AFDC4D5F}"/>
                    </a:ext>
                  </a:extLst>
                </xdr:cNvPr>
                <xdr:cNvSpPr/>
              </xdr:nvSpPr>
              <xdr:spPr>
                <a:xfrm>
                  <a:off x="9272836" y="14366505"/>
                  <a:ext cx="926232" cy="926760"/>
                </a:xfrm>
                <a:prstGeom prst="ellipse">
                  <a:avLst/>
                </a:prstGeom>
                <a:noFill/>
                <a:ln w="9525">
                  <a:solidFill>
                    <a:schemeClr val="accent2"/>
                  </a:solidFill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</xdr:grpSp>
          <xdr:sp macro="" textlink="">
            <xdr:nvSpPr>
              <xdr:cNvPr id="29" name="Oval 28">
                <a:extLst>
                  <a:ext uri="{FF2B5EF4-FFF2-40B4-BE49-F238E27FC236}">
                    <a16:creationId xmlns:a16="http://schemas.microsoft.com/office/drawing/2014/main" id="{95644A48-8957-4190-B1D9-897DE3B2AAB4}"/>
                  </a:ext>
                </a:extLst>
              </xdr:cNvPr>
              <xdr:cNvSpPr/>
            </xdr:nvSpPr>
            <xdr:spPr>
              <a:xfrm>
                <a:off x="16241282" y="13508664"/>
                <a:ext cx="1983180" cy="1989148"/>
              </a:xfrm>
              <a:prstGeom prst="ellipse">
                <a:avLst/>
              </a:prstGeom>
              <a:noFill/>
              <a:ln w="19050">
                <a:solidFill>
                  <a:srgbClr val="00B05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d-ID" sz="1100"/>
              </a:p>
            </xdr:txBody>
          </xdr:sp>
          <xdr:sp macro="" textlink="">
            <xdr:nvSpPr>
              <xdr:cNvPr id="32" name="Oval 31">
                <a:extLst>
                  <a:ext uri="{FF2B5EF4-FFF2-40B4-BE49-F238E27FC236}">
                    <a16:creationId xmlns:a16="http://schemas.microsoft.com/office/drawing/2014/main" id="{6350DC83-19B4-4CB0-A4CC-CDF9D9C176F8}"/>
                  </a:ext>
                </a:extLst>
              </xdr:cNvPr>
              <xdr:cNvSpPr/>
            </xdr:nvSpPr>
            <xdr:spPr>
              <a:xfrm>
                <a:off x="18229358" y="14391333"/>
                <a:ext cx="223304" cy="223810"/>
              </a:xfrm>
              <a:prstGeom prst="ellipse">
                <a:avLst/>
              </a:prstGeom>
              <a:noFill/>
              <a:ln w="19050">
                <a:solidFill>
                  <a:srgbClr val="7030A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d-ID" sz="1100"/>
              </a:p>
            </xdr:txBody>
          </xdr:sp>
          <xdr:cxnSp macro="">
            <xdr:nvCxnSpPr>
              <xdr:cNvPr id="34" name="Straight Connector 33">
                <a:extLst>
                  <a:ext uri="{FF2B5EF4-FFF2-40B4-BE49-F238E27FC236}">
                    <a16:creationId xmlns:a16="http://schemas.microsoft.com/office/drawing/2014/main" id="{63F738A0-CB35-427F-9AEE-B61A4C32E76D}"/>
                  </a:ext>
                </a:extLst>
              </xdr:cNvPr>
              <xdr:cNvCxnSpPr/>
            </xdr:nvCxnSpPr>
            <xdr:spPr>
              <a:xfrm flipH="1" flipV="1">
                <a:off x="17241296" y="12883741"/>
                <a:ext cx="1244950" cy="1621972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" name="Straight Connector 37">
                <a:extLst>
                  <a:ext uri="{FF2B5EF4-FFF2-40B4-BE49-F238E27FC236}">
                    <a16:creationId xmlns:a16="http://schemas.microsoft.com/office/drawing/2014/main" id="{8150C2B0-5529-4E46-BF88-AD18105E9369}"/>
                  </a:ext>
                </a:extLst>
              </xdr:cNvPr>
              <xdr:cNvCxnSpPr/>
            </xdr:nvCxnSpPr>
            <xdr:spPr>
              <a:xfrm flipH="1">
                <a:off x="17241296" y="14500191"/>
                <a:ext cx="1244950" cy="1621972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51" name="Group 50">
                <a:extLst>
                  <a:ext uri="{FF2B5EF4-FFF2-40B4-BE49-F238E27FC236}">
                    <a16:creationId xmlns:a16="http://schemas.microsoft.com/office/drawing/2014/main" id="{03249055-7F38-451F-B102-B984751F64AE}"/>
                  </a:ext>
                </a:extLst>
              </xdr:cNvPr>
              <xdr:cNvGrpSpPr/>
            </xdr:nvGrpSpPr>
            <xdr:grpSpPr>
              <a:xfrm>
                <a:off x="15881484" y="12965116"/>
                <a:ext cx="952791" cy="683931"/>
                <a:chOff x="15881484" y="12965116"/>
                <a:chExt cx="952791" cy="683931"/>
              </a:xfrm>
            </xdr:grpSpPr>
            <xdr:grpSp>
              <xdr:nvGrpSpPr>
                <xdr:cNvPr id="41" name="Group 40">
                  <a:extLst>
                    <a:ext uri="{FF2B5EF4-FFF2-40B4-BE49-F238E27FC236}">
                      <a16:creationId xmlns:a16="http://schemas.microsoft.com/office/drawing/2014/main" id="{CFF57FD9-94F6-4B52-BA1F-9C9DB29A4185}"/>
                    </a:ext>
                  </a:extLst>
                </xdr:cNvPr>
                <xdr:cNvGrpSpPr/>
              </xdr:nvGrpSpPr>
              <xdr:grpSpPr>
                <a:xfrm>
                  <a:off x="15881484" y="12965116"/>
                  <a:ext cx="952791" cy="105104"/>
                  <a:chOff x="15942879" y="12960568"/>
                  <a:chExt cx="955570" cy="105104"/>
                </a:xfrm>
              </xdr:grpSpPr>
              <xdr:sp macro="" textlink="">
                <xdr:nvSpPr>
                  <xdr:cNvPr id="39" name="Oval 38">
                    <a:extLst>
                      <a:ext uri="{FF2B5EF4-FFF2-40B4-BE49-F238E27FC236}">
                        <a16:creationId xmlns:a16="http://schemas.microsoft.com/office/drawing/2014/main" id="{D7A931B5-1768-45F6-8BCD-45B1915B1E20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chemeClr val="accent1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40" name="TextBox 39">
                    <a:extLst>
                      <a:ext uri="{FF2B5EF4-FFF2-40B4-BE49-F238E27FC236}">
                        <a16:creationId xmlns:a16="http://schemas.microsoft.com/office/drawing/2014/main" id="{A9300381-3E14-4950-B8DB-28D6B7A79ABE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824191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Komposit CS</a:t>
                    </a:r>
                    <a:r>
                      <a:rPr lang="id-ID" sz="7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+Beton</a:t>
                    </a:r>
                    <a:endParaRPr lang="id-ID" sz="7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42" name="Group 41">
                  <a:extLst>
                    <a:ext uri="{FF2B5EF4-FFF2-40B4-BE49-F238E27FC236}">
                      <a16:creationId xmlns:a16="http://schemas.microsoft.com/office/drawing/2014/main" id="{E0F06683-6958-4D1D-9F38-CE9CF174CBCF}"/>
                    </a:ext>
                  </a:extLst>
                </xdr:cNvPr>
                <xdr:cNvGrpSpPr/>
              </xdr:nvGrpSpPr>
              <xdr:grpSpPr>
                <a:xfrm>
                  <a:off x="15881484" y="13149805"/>
                  <a:ext cx="817113" cy="105104"/>
                  <a:chOff x="15942879" y="12960568"/>
                  <a:chExt cx="819892" cy="105104"/>
                </a:xfrm>
              </xdr:grpSpPr>
              <xdr:sp macro="" textlink="">
                <xdr:nvSpPr>
                  <xdr:cNvPr id="43" name="Oval 42">
                    <a:extLst>
                      <a:ext uri="{FF2B5EF4-FFF2-40B4-BE49-F238E27FC236}">
                        <a16:creationId xmlns:a16="http://schemas.microsoft.com/office/drawing/2014/main" id="{C8F2BE2F-77C2-412E-BAD3-4BABF3211097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chemeClr val="accent2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44" name="TextBox 43">
                    <a:extLst>
                      <a:ext uri="{FF2B5EF4-FFF2-40B4-BE49-F238E27FC236}">
                        <a16:creationId xmlns:a16="http://schemas.microsoft.com/office/drawing/2014/main" id="{26AC4A81-79A1-43E3-B6C5-CF36EC80E3FB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688513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id-ID" sz="700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Corrugated Steel</a:t>
                    </a:r>
                  </a:p>
                </xdr:txBody>
              </xdr:sp>
            </xdr:grpSp>
            <xdr:grpSp>
              <xdr:nvGrpSpPr>
                <xdr:cNvPr id="45" name="Group 44">
                  <a:extLst>
                    <a:ext uri="{FF2B5EF4-FFF2-40B4-BE49-F238E27FC236}">
                      <a16:creationId xmlns:a16="http://schemas.microsoft.com/office/drawing/2014/main" id="{C68FBEE3-4C5C-48D1-9300-0F93BC14AFA5}"/>
                    </a:ext>
                  </a:extLst>
                </xdr:cNvPr>
                <xdr:cNvGrpSpPr/>
              </xdr:nvGrpSpPr>
              <xdr:grpSpPr>
                <a:xfrm>
                  <a:off x="15881484" y="13346874"/>
                  <a:ext cx="406744" cy="105104"/>
                  <a:chOff x="15942879" y="12960568"/>
                  <a:chExt cx="409523" cy="105104"/>
                </a:xfrm>
              </xdr:grpSpPr>
              <xdr:sp macro="" textlink="">
                <xdr:nvSpPr>
                  <xdr:cNvPr id="46" name="Oval 45">
                    <a:extLst>
                      <a:ext uri="{FF2B5EF4-FFF2-40B4-BE49-F238E27FC236}">
                        <a16:creationId xmlns:a16="http://schemas.microsoft.com/office/drawing/2014/main" id="{F7B50B73-159E-428E-850D-728C1375D8A8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rgbClr val="00B050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47" name="TextBox 46">
                    <a:extLst>
                      <a:ext uri="{FF2B5EF4-FFF2-40B4-BE49-F238E27FC236}">
                        <a16:creationId xmlns:a16="http://schemas.microsoft.com/office/drawing/2014/main" id="{24EE7B47-DE51-4CB6-970E-35D73C741FE5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278144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el-GR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σ</a:t>
                    </a:r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 ult</a:t>
                    </a:r>
                  </a:p>
                </xdr:txBody>
              </xdr:sp>
            </xdr:grpSp>
            <xdr:grpSp>
              <xdr:nvGrpSpPr>
                <xdr:cNvPr id="48" name="Group 47">
                  <a:extLst>
                    <a:ext uri="{FF2B5EF4-FFF2-40B4-BE49-F238E27FC236}">
                      <a16:creationId xmlns:a16="http://schemas.microsoft.com/office/drawing/2014/main" id="{6485F9F3-D1EA-4288-A013-40B55BB3E7BF}"/>
                    </a:ext>
                  </a:extLst>
                </xdr:cNvPr>
                <xdr:cNvGrpSpPr/>
              </xdr:nvGrpSpPr>
              <xdr:grpSpPr>
                <a:xfrm>
                  <a:off x="15881484" y="13543943"/>
                  <a:ext cx="391868" cy="105104"/>
                  <a:chOff x="15942879" y="12960568"/>
                  <a:chExt cx="394647" cy="105104"/>
                </a:xfrm>
              </xdr:grpSpPr>
              <xdr:sp macro="" textlink="">
                <xdr:nvSpPr>
                  <xdr:cNvPr id="49" name="Oval 48">
                    <a:extLst>
                      <a:ext uri="{FF2B5EF4-FFF2-40B4-BE49-F238E27FC236}">
                        <a16:creationId xmlns:a16="http://schemas.microsoft.com/office/drawing/2014/main" id="{4719239B-CDA6-4D84-B58F-F3265F6CD308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rgbClr val="7030A0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50" name="TextBox 49">
                    <a:extLst>
                      <a:ext uri="{FF2B5EF4-FFF2-40B4-BE49-F238E27FC236}">
                        <a16:creationId xmlns:a16="http://schemas.microsoft.com/office/drawing/2014/main" id="{F0BE7946-2753-4F0F-BFBC-C419D47D1064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263268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el-GR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σ</a:t>
                    </a:r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t ult</a:t>
                    </a:r>
                  </a:p>
                </xdr:txBody>
              </xdr:sp>
            </xdr:grpSp>
          </xdr:grp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860C4AE1-30A6-405F-834D-E513C51F3736}"/>
              </a:ext>
            </a:extLst>
          </xdr:cNvPr>
          <xdr:cNvSpPr txBox="1"/>
        </xdr:nvSpPr>
        <xdr:spPr>
          <a:xfrm>
            <a:off x="18635024" y="13327014"/>
            <a:ext cx="481237" cy="1511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tIns="0" rIns="36000" bIns="0" rtlCol="0" anchor="t">
            <a:noAutofit/>
          </a:bodyPr>
          <a:lstStyle/>
          <a:p>
            <a:pPr algn="l"/>
            <a:r>
              <a:rPr lang="id-ID" sz="900" i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Failure</a:t>
            </a:r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6B009D15-E99E-4239-89A0-951478D5066F}"/>
              </a:ext>
            </a:extLst>
          </xdr:cNvPr>
          <xdr:cNvSpPr txBox="1"/>
        </xdr:nvSpPr>
        <xdr:spPr>
          <a:xfrm>
            <a:off x="18635024" y="17269534"/>
            <a:ext cx="481237" cy="1511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tIns="0" rIns="36000" bIns="0" rtlCol="0" anchor="t">
            <a:noAutofit/>
          </a:bodyPr>
          <a:lstStyle/>
          <a:p>
            <a:pPr algn="l"/>
            <a:r>
              <a:rPr lang="id-ID" sz="900" i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Failure</a:t>
            </a:r>
          </a:p>
        </xdr:txBody>
      </xdr:sp>
    </xdr:grpSp>
    <xdr:clientData/>
  </xdr:twoCellAnchor>
  <xdr:twoCellAnchor>
    <xdr:from>
      <xdr:col>33</xdr:col>
      <xdr:colOff>21940</xdr:colOff>
      <xdr:row>58</xdr:row>
      <xdr:rowOff>80755</xdr:rowOff>
    </xdr:from>
    <xdr:to>
      <xdr:col>39</xdr:col>
      <xdr:colOff>414664</xdr:colOff>
      <xdr:row>74</xdr:row>
      <xdr:rowOff>19255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BE19FC39-DC90-42A2-86F1-40243B6BC2D8}"/>
            </a:ext>
          </a:extLst>
        </xdr:cNvPr>
        <xdr:cNvGrpSpPr>
          <a:grpSpLocks noChangeAspect="1"/>
        </xdr:cNvGrpSpPr>
      </xdr:nvGrpSpPr>
      <xdr:grpSpPr>
        <a:xfrm>
          <a:off x="21956654" y="12667362"/>
          <a:ext cx="4325189" cy="4510500"/>
          <a:chOff x="15704153" y="12680958"/>
          <a:chExt cx="5410881" cy="5399996"/>
        </a:xfrm>
      </xdr:grpSpPr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17D43838-33FD-467D-A208-885BA4169F60}"/>
              </a:ext>
            </a:extLst>
          </xdr:cNvPr>
          <xdr:cNvGrpSpPr/>
        </xdr:nvGrpSpPr>
        <xdr:grpSpPr>
          <a:xfrm>
            <a:off x="15704153" y="12680958"/>
            <a:ext cx="5410881" cy="5399996"/>
            <a:chOff x="15645656" y="12691854"/>
            <a:chExt cx="3600000" cy="3600000"/>
          </a:xfrm>
        </xdr:grpSpPr>
        <xdr:graphicFrame macro="">
          <xdr:nvGraphicFramePr>
            <xdr:cNvPr id="64" name="Chart 63">
              <a:extLst>
                <a:ext uri="{FF2B5EF4-FFF2-40B4-BE49-F238E27FC236}">
                  <a16:creationId xmlns:a16="http://schemas.microsoft.com/office/drawing/2014/main" id="{6001E287-B5EB-4F5E-ACD0-98B72BE963BF}"/>
                </a:ext>
              </a:extLst>
            </xdr:cNvPr>
            <xdr:cNvGraphicFramePr/>
          </xdr:nvGraphicFramePr>
          <xdr:xfrm>
            <a:off x="15645656" y="12691854"/>
            <a:ext cx="3600000" cy="360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0"/>
            </a:graphicData>
          </a:graphic>
        </xdr:graphicFrame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24763004-973E-41B7-8535-593997F6C90D}"/>
                </a:ext>
              </a:extLst>
            </xdr:cNvPr>
            <xdr:cNvGrpSpPr/>
          </xdr:nvGrpSpPr>
          <xdr:grpSpPr>
            <a:xfrm>
              <a:off x="15912986" y="12867596"/>
              <a:ext cx="3057262" cy="3262922"/>
              <a:chOff x="15881481" y="12873458"/>
              <a:chExt cx="3053824" cy="3262922"/>
            </a:xfrm>
          </xdr:grpSpPr>
          <xdr:grpSp>
            <xdr:nvGrpSpPr>
              <xdr:cNvPr id="66" name="Group 65">
                <a:extLst>
                  <a:ext uri="{FF2B5EF4-FFF2-40B4-BE49-F238E27FC236}">
                    <a16:creationId xmlns:a16="http://schemas.microsoft.com/office/drawing/2014/main" id="{F15762ED-A928-4308-B19D-B812DA943063}"/>
                  </a:ext>
                </a:extLst>
              </xdr:cNvPr>
              <xdr:cNvGrpSpPr/>
            </xdr:nvGrpSpPr>
            <xdr:grpSpPr>
              <a:xfrm>
                <a:off x="17887885" y="14064716"/>
                <a:ext cx="876319" cy="875355"/>
                <a:chOff x="10011326" y="14537835"/>
                <a:chExt cx="586640" cy="584099"/>
              </a:xfrm>
            </xdr:grpSpPr>
            <xdr:sp macro="" textlink="">
              <xdr:nvSpPr>
                <xdr:cNvPr id="88" name="Oval 87">
                  <a:extLst>
                    <a:ext uri="{FF2B5EF4-FFF2-40B4-BE49-F238E27FC236}">
                      <a16:creationId xmlns:a16="http://schemas.microsoft.com/office/drawing/2014/main" id="{D5E665BA-1F7E-4075-A72D-C23F7EF76FE4}"/>
                    </a:ext>
                  </a:extLst>
                </xdr:cNvPr>
                <xdr:cNvSpPr/>
              </xdr:nvSpPr>
              <xdr:spPr>
                <a:xfrm>
                  <a:off x="10011326" y="14537835"/>
                  <a:ext cx="583761" cy="584099"/>
                </a:xfrm>
                <a:prstGeom prst="ellipse">
                  <a:avLst/>
                </a:prstGeom>
                <a:noFill/>
                <a:ln w="12700"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89" name="Oval 88">
                  <a:extLst>
                    <a:ext uri="{FF2B5EF4-FFF2-40B4-BE49-F238E27FC236}">
                      <a16:creationId xmlns:a16="http://schemas.microsoft.com/office/drawing/2014/main" id="{C09FD2BD-6B13-4E62-B76D-3426C134890B}"/>
                    </a:ext>
                  </a:extLst>
                </xdr:cNvPr>
                <xdr:cNvSpPr/>
              </xdr:nvSpPr>
              <xdr:spPr>
                <a:xfrm>
                  <a:off x="10350772" y="14706219"/>
                  <a:ext cx="247194" cy="247333"/>
                </a:xfrm>
                <a:prstGeom prst="ellipse">
                  <a:avLst/>
                </a:prstGeom>
                <a:noFill/>
                <a:ln w="9525"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90" name="Oval 89">
                  <a:extLst>
                    <a:ext uri="{FF2B5EF4-FFF2-40B4-BE49-F238E27FC236}">
                      <a16:creationId xmlns:a16="http://schemas.microsoft.com/office/drawing/2014/main" id="{C1C823F2-7626-4C15-83EA-5C6A04E0B572}"/>
                    </a:ext>
                  </a:extLst>
                </xdr:cNvPr>
                <xdr:cNvSpPr/>
              </xdr:nvSpPr>
              <xdr:spPr>
                <a:xfrm>
                  <a:off x="10014058" y="14660742"/>
                  <a:ext cx="338094" cy="338287"/>
                </a:xfrm>
                <a:prstGeom prst="ellipse">
                  <a:avLst/>
                </a:prstGeom>
                <a:noFill/>
                <a:ln w="9525"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</xdr:grpSp>
          <xdr:grpSp>
            <xdr:nvGrpSpPr>
              <xdr:cNvPr id="67" name="Group 66">
                <a:extLst>
                  <a:ext uri="{FF2B5EF4-FFF2-40B4-BE49-F238E27FC236}">
                    <a16:creationId xmlns:a16="http://schemas.microsoft.com/office/drawing/2014/main" id="{04B808B1-05DF-450D-B016-4A32F6D2F988}"/>
                  </a:ext>
                </a:extLst>
              </xdr:cNvPr>
              <xdr:cNvGrpSpPr/>
            </xdr:nvGrpSpPr>
            <xdr:grpSpPr>
              <a:xfrm>
                <a:off x="18077023" y="14071840"/>
                <a:ext cx="858282" cy="861512"/>
                <a:chOff x="10095568" y="14545461"/>
                <a:chExt cx="565901" cy="566228"/>
              </a:xfrm>
            </xdr:grpSpPr>
            <xdr:sp macro="" textlink="">
              <xdr:nvSpPr>
                <xdr:cNvPr id="85" name="Oval 84">
                  <a:extLst>
                    <a:ext uri="{FF2B5EF4-FFF2-40B4-BE49-F238E27FC236}">
                      <a16:creationId xmlns:a16="http://schemas.microsoft.com/office/drawing/2014/main" id="{E2B0F140-00C6-4E92-B465-E989665E0A83}"/>
                    </a:ext>
                  </a:extLst>
                </xdr:cNvPr>
                <xdr:cNvSpPr/>
              </xdr:nvSpPr>
              <xdr:spPr>
                <a:xfrm>
                  <a:off x="10095568" y="14545461"/>
                  <a:ext cx="565901" cy="566228"/>
                </a:xfrm>
                <a:prstGeom prst="ellipse">
                  <a:avLst/>
                </a:prstGeom>
                <a:noFill/>
                <a:ln w="12700">
                  <a:solidFill>
                    <a:schemeClr val="accent2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86" name="Oval 85">
                  <a:extLst>
                    <a:ext uri="{FF2B5EF4-FFF2-40B4-BE49-F238E27FC236}">
                      <a16:creationId xmlns:a16="http://schemas.microsoft.com/office/drawing/2014/main" id="{96A6BD5B-32A7-4477-BA66-AF3BBF46CA8E}"/>
                    </a:ext>
                  </a:extLst>
                </xdr:cNvPr>
                <xdr:cNvSpPr/>
              </xdr:nvSpPr>
              <xdr:spPr>
                <a:xfrm>
                  <a:off x="10405927" y="14704079"/>
                  <a:ext cx="252651" cy="252799"/>
                </a:xfrm>
                <a:prstGeom prst="ellipse">
                  <a:avLst/>
                </a:prstGeom>
                <a:noFill/>
                <a:ln w="9525">
                  <a:solidFill>
                    <a:schemeClr val="accent2"/>
                  </a:solidFill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  <xdr:sp macro="" textlink="">
              <xdr:nvSpPr>
                <xdr:cNvPr id="87" name="Oval 86">
                  <a:extLst>
                    <a:ext uri="{FF2B5EF4-FFF2-40B4-BE49-F238E27FC236}">
                      <a16:creationId xmlns:a16="http://schemas.microsoft.com/office/drawing/2014/main" id="{722AFA73-583E-4DC1-BA66-55F04D413948}"/>
                    </a:ext>
                  </a:extLst>
                </xdr:cNvPr>
                <xdr:cNvSpPr/>
              </xdr:nvSpPr>
              <xdr:spPr>
                <a:xfrm>
                  <a:off x="10099326" y="14677672"/>
                  <a:ext cx="304257" cy="304428"/>
                </a:xfrm>
                <a:prstGeom prst="ellipse">
                  <a:avLst/>
                </a:prstGeom>
                <a:noFill/>
                <a:ln w="9525">
                  <a:solidFill>
                    <a:schemeClr val="accent2"/>
                  </a:solidFill>
                  <a:prstDash val="sysDot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d-ID" sz="1100"/>
                </a:p>
              </xdr:txBody>
            </xdr:sp>
          </xdr:grpSp>
          <xdr:sp macro="" textlink="">
            <xdr:nvSpPr>
              <xdr:cNvPr id="68" name="Oval 67">
                <a:extLst>
                  <a:ext uri="{FF2B5EF4-FFF2-40B4-BE49-F238E27FC236}">
                    <a16:creationId xmlns:a16="http://schemas.microsoft.com/office/drawing/2014/main" id="{15B780AA-5AFF-4EE0-8AEB-D0E94AF749A3}"/>
                  </a:ext>
                </a:extLst>
              </xdr:cNvPr>
              <xdr:cNvSpPr/>
            </xdr:nvSpPr>
            <xdr:spPr>
              <a:xfrm>
                <a:off x="16009642" y="13259342"/>
                <a:ext cx="2490068" cy="2497564"/>
              </a:xfrm>
              <a:prstGeom prst="ellipse">
                <a:avLst/>
              </a:prstGeom>
              <a:noFill/>
              <a:ln w="19050">
                <a:solidFill>
                  <a:srgbClr val="00B05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d-ID" sz="1100"/>
              </a:p>
            </xdr:txBody>
          </xdr:sp>
          <xdr:sp macro="" textlink="">
            <xdr:nvSpPr>
              <xdr:cNvPr id="69" name="Oval 68">
                <a:extLst>
                  <a:ext uri="{FF2B5EF4-FFF2-40B4-BE49-F238E27FC236}">
                    <a16:creationId xmlns:a16="http://schemas.microsoft.com/office/drawing/2014/main" id="{9519EEE5-9458-4550-9609-7E9E27F47244}"/>
                  </a:ext>
                </a:extLst>
              </xdr:cNvPr>
              <xdr:cNvSpPr/>
            </xdr:nvSpPr>
            <xdr:spPr>
              <a:xfrm>
                <a:off x="18500432" y="14365066"/>
                <a:ext cx="273556" cy="274177"/>
              </a:xfrm>
              <a:prstGeom prst="ellipse">
                <a:avLst/>
              </a:prstGeom>
              <a:noFill/>
              <a:ln w="19050">
                <a:solidFill>
                  <a:srgbClr val="7030A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d-ID" sz="1100"/>
              </a:p>
            </xdr:txBody>
          </xdr:sp>
          <xdr:cxnSp macro="">
            <xdr:nvCxnSpPr>
              <xdr:cNvPr id="71" name="Straight Connector 70">
                <a:extLst>
                  <a:ext uri="{FF2B5EF4-FFF2-40B4-BE49-F238E27FC236}">
                    <a16:creationId xmlns:a16="http://schemas.microsoft.com/office/drawing/2014/main" id="{1E9FCD6C-208F-4B43-9DE2-E4A14879C1D9}"/>
                  </a:ext>
                </a:extLst>
              </xdr:cNvPr>
              <xdr:cNvCxnSpPr/>
            </xdr:nvCxnSpPr>
            <xdr:spPr>
              <a:xfrm flipH="1">
                <a:off x="17607024" y="14500034"/>
                <a:ext cx="1210398" cy="1636346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72" name="Group 71">
                <a:extLst>
                  <a:ext uri="{FF2B5EF4-FFF2-40B4-BE49-F238E27FC236}">
                    <a16:creationId xmlns:a16="http://schemas.microsoft.com/office/drawing/2014/main" id="{DB1B3FB4-408B-4C1B-8926-F5CCF36F07C2}"/>
                  </a:ext>
                </a:extLst>
              </xdr:cNvPr>
              <xdr:cNvGrpSpPr/>
            </xdr:nvGrpSpPr>
            <xdr:grpSpPr>
              <a:xfrm>
                <a:off x="15881481" y="12965116"/>
                <a:ext cx="952791" cy="683931"/>
                <a:chOff x="15881484" y="12965116"/>
                <a:chExt cx="952791" cy="683931"/>
              </a:xfrm>
            </xdr:grpSpPr>
            <xdr:grpSp>
              <xdr:nvGrpSpPr>
                <xdr:cNvPr id="73" name="Group 72">
                  <a:extLst>
                    <a:ext uri="{FF2B5EF4-FFF2-40B4-BE49-F238E27FC236}">
                      <a16:creationId xmlns:a16="http://schemas.microsoft.com/office/drawing/2014/main" id="{39D3B587-8BA8-4976-B348-A7830508A325}"/>
                    </a:ext>
                  </a:extLst>
                </xdr:cNvPr>
                <xdr:cNvGrpSpPr/>
              </xdr:nvGrpSpPr>
              <xdr:grpSpPr>
                <a:xfrm>
                  <a:off x="15881484" y="12965116"/>
                  <a:ext cx="952791" cy="105104"/>
                  <a:chOff x="15942879" y="12960568"/>
                  <a:chExt cx="955570" cy="105104"/>
                </a:xfrm>
              </xdr:grpSpPr>
              <xdr:sp macro="" textlink="">
                <xdr:nvSpPr>
                  <xdr:cNvPr id="83" name="Oval 82">
                    <a:extLst>
                      <a:ext uri="{FF2B5EF4-FFF2-40B4-BE49-F238E27FC236}">
                        <a16:creationId xmlns:a16="http://schemas.microsoft.com/office/drawing/2014/main" id="{31F83BD7-5564-4160-B937-669B3348D885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chemeClr val="accent1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84" name="TextBox 83">
                    <a:extLst>
                      <a:ext uri="{FF2B5EF4-FFF2-40B4-BE49-F238E27FC236}">
                        <a16:creationId xmlns:a16="http://schemas.microsoft.com/office/drawing/2014/main" id="{8135EB2F-958C-4972-A6DC-5F47AFE2B81B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824191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Komposit CS</a:t>
                    </a:r>
                    <a:r>
                      <a:rPr lang="id-ID" sz="7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+Beton</a:t>
                    </a:r>
                    <a:endParaRPr lang="id-ID" sz="7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xdr:txBody>
              </xdr:sp>
            </xdr:grpSp>
            <xdr:grpSp>
              <xdr:nvGrpSpPr>
                <xdr:cNvPr id="74" name="Group 73">
                  <a:extLst>
                    <a:ext uri="{FF2B5EF4-FFF2-40B4-BE49-F238E27FC236}">
                      <a16:creationId xmlns:a16="http://schemas.microsoft.com/office/drawing/2014/main" id="{AAC4A5C9-9236-48E8-972E-F9B1BEE86BCB}"/>
                    </a:ext>
                  </a:extLst>
                </xdr:cNvPr>
                <xdr:cNvGrpSpPr/>
              </xdr:nvGrpSpPr>
              <xdr:grpSpPr>
                <a:xfrm>
                  <a:off x="15881484" y="13149805"/>
                  <a:ext cx="817113" cy="105104"/>
                  <a:chOff x="15942879" y="12960568"/>
                  <a:chExt cx="819892" cy="105104"/>
                </a:xfrm>
              </xdr:grpSpPr>
              <xdr:sp macro="" textlink="">
                <xdr:nvSpPr>
                  <xdr:cNvPr id="81" name="Oval 80">
                    <a:extLst>
                      <a:ext uri="{FF2B5EF4-FFF2-40B4-BE49-F238E27FC236}">
                        <a16:creationId xmlns:a16="http://schemas.microsoft.com/office/drawing/2014/main" id="{BC16039A-5310-48C3-8232-CD720E6900C1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chemeClr val="accent2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82" name="TextBox 81">
                    <a:extLst>
                      <a:ext uri="{FF2B5EF4-FFF2-40B4-BE49-F238E27FC236}">
                        <a16:creationId xmlns:a16="http://schemas.microsoft.com/office/drawing/2014/main" id="{AA76327C-D86D-4E49-A1EC-210C6D8EADF0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688513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id-ID" sz="700" i="1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Corrugated Steel</a:t>
                    </a:r>
                  </a:p>
                </xdr:txBody>
              </xdr:sp>
            </xdr:grpSp>
            <xdr:grpSp>
              <xdr:nvGrpSpPr>
                <xdr:cNvPr id="75" name="Group 74">
                  <a:extLst>
                    <a:ext uri="{FF2B5EF4-FFF2-40B4-BE49-F238E27FC236}">
                      <a16:creationId xmlns:a16="http://schemas.microsoft.com/office/drawing/2014/main" id="{C0C340FE-5BB0-4409-BD3B-5269C099A111}"/>
                    </a:ext>
                  </a:extLst>
                </xdr:cNvPr>
                <xdr:cNvGrpSpPr/>
              </xdr:nvGrpSpPr>
              <xdr:grpSpPr>
                <a:xfrm>
                  <a:off x="15881484" y="13346874"/>
                  <a:ext cx="406744" cy="105104"/>
                  <a:chOff x="15942879" y="12960568"/>
                  <a:chExt cx="409523" cy="105104"/>
                </a:xfrm>
              </xdr:grpSpPr>
              <xdr:sp macro="" textlink="">
                <xdr:nvSpPr>
                  <xdr:cNvPr id="79" name="Oval 78">
                    <a:extLst>
                      <a:ext uri="{FF2B5EF4-FFF2-40B4-BE49-F238E27FC236}">
                        <a16:creationId xmlns:a16="http://schemas.microsoft.com/office/drawing/2014/main" id="{8C0DC250-E25D-4D58-93F8-2051CCBD75D9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rgbClr val="00B050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80" name="TextBox 79">
                    <a:extLst>
                      <a:ext uri="{FF2B5EF4-FFF2-40B4-BE49-F238E27FC236}">
                        <a16:creationId xmlns:a16="http://schemas.microsoft.com/office/drawing/2014/main" id="{716D81C6-CB81-4E9A-8A5D-E2ECB1A24513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278144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el-GR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σ</a:t>
                    </a:r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 ult</a:t>
                    </a:r>
                  </a:p>
                </xdr:txBody>
              </xdr:sp>
            </xdr:grpSp>
            <xdr:grpSp>
              <xdr:nvGrpSpPr>
                <xdr:cNvPr id="76" name="Group 75">
                  <a:extLst>
                    <a:ext uri="{FF2B5EF4-FFF2-40B4-BE49-F238E27FC236}">
                      <a16:creationId xmlns:a16="http://schemas.microsoft.com/office/drawing/2014/main" id="{B3E1959B-F25B-41FE-AA88-6311CA5A73CB}"/>
                    </a:ext>
                  </a:extLst>
                </xdr:cNvPr>
                <xdr:cNvGrpSpPr/>
              </xdr:nvGrpSpPr>
              <xdr:grpSpPr>
                <a:xfrm>
                  <a:off x="15881484" y="13543943"/>
                  <a:ext cx="391868" cy="105104"/>
                  <a:chOff x="15942879" y="12960568"/>
                  <a:chExt cx="394647" cy="105104"/>
                </a:xfrm>
              </xdr:grpSpPr>
              <xdr:sp macro="" textlink="">
                <xdr:nvSpPr>
                  <xdr:cNvPr id="77" name="Oval 76">
                    <a:extLst>
                      <a:ext uri="{FF2B5EF4-FFF2-40B4-BE49-F238E27FC236}">
                        <a16:creationId xmlns:a16="http://schemas.microsoft.com/office/drawing/2014/main" id="{77CE39F0-5B6E-4E07-BF21-8605FE050F42}"/>
                      </a:ext>
                    </a:extLst>
                  </xdr:cNvPr>
                  <xdr:cNvSpPr/>
                </xdr:nvSpPr>
                <xdr:spPr>
                  <a:xfrm>
                    <a:off x="15942879" y="12960568"/>
                    <a:ext cx="105104" cy="105104"/>
                  </a:xfrm>
                  <a:prstGeom prst="ellipse">
                    <a:avLst/>
                  </a:prstGeom>
                  <a:solidFill>
                    <a:srgbClr val="7030A0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d-ID" sz="1100"/>
                  </a:p>
                </xdr:txBody>
              </xdr:sp>
              <xdr:sp macro="" textlink="">
                <xdr:nvSpPr>
                  <xdr:cNvPr id="78" name="TextBox 77">
                    <a:extLst>
                      <a:ext uri="{FF2B5EF4-FFF2-40B4-BE49-F238E27FC236}">
                        <a16:creationId xmlns:a16="http://schemas.microsoft.com/office/drawing/2014/main" id="{3843AACB-EB37-400D-9779-4878DC8B09F3}"/>
                      </a:ext>
                    </a:extLst>
                  </xdr:cNvPr>
                  <xdr:cNvSpPr txBox="1"/>
                </xdr:nvSpPr>
                <xdr:spPr>
                  <a:xfrm>
                    <a:off x="16074258" y="12961504"/>
                    <a:ext cx="263268" cy="103233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36000" tIns="0" rIns="36000" bIns="0" rtlCol="0" anchor="t">
                    <a:spAutoFit/>
                  </a:bodyPr>
                  <a:lstStyle/>
                  <a:p>
                    <a:pPr algn="l"/>
                    <a:r>
                      <a:rPr lang="el-GR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σ</a:t>
                    </a:r>
                    <a:r>
                      <a:rPr lang="id-ID" sz="7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t ult</a:t>
                    </a:r>
                  </a:p>
                </xdr:txBody>
              </xdr:sp>
            </xdr:grpSp>
          </xdr:grpSp>
          <xdr:cxnSp macro="">
            <xdr:nvCxnSpPr>
              <xdr:cNvPr id="94" name="Straight Connector 93">
                <a:extLst>
                  <a:ext uri="{FF2B5EF4-FFF2-40B4-BE49-F238E27FC236}">
                    <a16:creationId xmlns:a16="http://schemas.microsoft.com/office/drawing/2014/main" id="{AE8F5AD9-9954-4400-B319-693C8E9815F5}"/>
                  </a:ext>
                </a:extLst>
              </xdr:cNvPr>
              <xdr:cNvCxnSpPr/>
            </xdr:nvCxnSpPr>
            <xdr:spPr>
              <a:xfrm flipH="1" flipV="1">
                <a:off x="17607029" y="12873458"/>
                <a:ext cx="1210398" cy="1636346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39D4D389-68FF-473C-81B5-E6E28940F769}"/>
              </a:ext>
            </a:extLst>
          </xdr:cNvPr>
          <xdr:cNvSpPr txBox="1"/>
        </xdr:nvSpPr>
        <xdr:spPr>
          <a:xfrm>
            <a:off x="19192672" y="13327005"/>
            <a:ext cx="481237" cy="1511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tIns="0" rIns="36000" bIns="0" rtlCol="0" anchor="t">
            <a:noAutofit/>
          </a:bodyPr>
          <a:lstStyle/>
          <a:p>
            <a:pPr algn="l"/>
            <a:r>
              <a:rPr lang="id-ID" sz="900" i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Failure</a:t>
            </a:r>
          </a:p>
        </xdr:txBody>
      </xdr: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22EFF0CE-0E10-4EFF-ADCB-6E48A0A1E70E}"/>
              </a:ext>
            </a:extLst>
          </xdr:cNvPr>
          <xdr:cNvSpPr txBox="1"/>
        </xdr:nvSpPr>
        <xdr:spPr>
          <a:xfrm>
            <a:off x="19192677" y="17269534"/>
            <a:ext cx="481237" cy="1511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tIns="0" rIns="36000" bIns="0" rtlCol="0" anchor="t">
            <a:noAutofit/>
          </a:bodyPr>
          <a:lstStyle/>
          <a:p>
            <a:pPr algn="l"/>
            <a:r>
              <a:rPr lang="id-ID" sz="900" i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Failure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76256</xdr:rowOff>
    </xdr:from>
    <xdr:to>
      <xdr:col>20</xdr:col>
      <xdr:colOff>161925</xdr:colOff>
      <xdr:row>15</xdr:row>
      <xdr:rowOff>124342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5BBD30-C00D-444B-8405-63ED7BFE7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525" y="76256"/>
          <a:ext cx="8029575" cy="2905586"/>
        </a:xfrm>
        <a:prstGeom prst="rect">
          <a:avLst/>
        </a:prstGeom>
      </xdr:spPr>
    </xdr:pic>
    <xdr:clientData/>
  </xdr:twoCellAnchor>
  <xdr:twoCellAnchor editAs="oneCell">
    <xdr:from>
      <xdr:col>7</xdr:col>
      <xdr:colOff>57151</xdr:colOff>
      <xdr:row>15</xdr:row>
      <xdr:rowOff>150325</xdr:rowOff>
    </xdr:from>
    <xdr:to>
      <xdr:col>15</xdr:col>
      <xdr:colOff>419101</xdr:colOff>
      <xdr:row>32</xdr:row>
      <xdr:rowOff>38657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DF9E4F-A7F1-4335-B6B7-E99C3C05C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1526" y="3007825"/>
          <a:ext cx="5238750" cy="3126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3</xdr:row>
      <xdr:rowOff>115115</xdr:rowOff>
    </xdr:from>
    <xdr:to>
      <xdr:col>12</xdr:col>
      <xdr:colOff>514350</xdr:colOff>
      <xdr:row>19</xdr:row>
      <xdr:rowOff>171990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9AA20E-2B68-445E-B20A-A53B0CAFE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5" y="686615"/>
          <a:ext cx="5019675" cy="31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23</xdr:row>
      <xdr:rowOff>171450</xdr:rowOff>
    </xdr:from>
    <xdr:to>
      <xdr:col>18</xdr:col>
      <xdr:colOff>83288</xdr:colOff>
      <xdr:row>46</xdr:row>
      <xdr:rowOff>88481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F0BC17-7CDB-40BB-B9B2-0BB33AFD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0350" y="4552950"/>
          <a:ext cx="7646138" cy="42985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189940</xdr:colOff>
      <xdr:row>1</xdr:row>
      <xdr:rowOff>131730</xdr:rowOff>
    </xdr:from>
    <xdr:to>
      <xdr:col>24</xdr:col>
      <xdr:colOff>189472</xdr:colOff>
      <xdr:row>13</xdr:row>
      <xdr:rowOff>110938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E53A969-EC83-486B-BADA-B490ADB2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7293" y="322230"/>
          <a:ext cx="4268973" cy="2265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91968</xdr:colOff>
      <xdr:row>20</xdr:row>
      <xdr:rowOff>172010</xdr:rowOff>
    </xdr:from>
    <xdr:to>
      <xdr:col>18</xdr:col>
      <xdr:colOff>367555</xdr:colOff>
      <xdr:row>31</xdr:row>
      <xdr:rowOff>24646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68BBE892-740A-4C81-ACE4-73A3FF0B5894}"/>
            </a:ext>
          </a:extLst>
        </xdr:cNvPr>
        <xdr:cNvGrpSpPr/>
      </xdr:nvGrpSpPr>
      <xdr:grpSpPr>
        <a:xfrm>
          <a:off x="5336321" y="3982010"/>
          <a:ext cx="5228587" cy="1948136"/>
          <a:chOff x="5392838" y="3982010"/>
          <a:chExt cx="5294847" cy="1948136"/>
        </a:xfrm>
      </xdr:grpSpPr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D391A003-7159-49AB-BC99-B34F66FD4404}"/>
              </a:ext>
            </a:extLst>
          </xdr:cNvPr>
          <xdr:cNvGrpSpPr/>
        </xdr:nvGrpSpPr>
        <xdr:grpSpPr>
          <a:xfrm>
            <a:off x="5392838" y="3982010"/>
            <a:ext cx="5294847" cy="1948136"/>
            <a:chOff x="5687025" y="3858746"/>
            <a:chExt cx="5229186" cy="1948136"/>
          </a:xfrm>
        </xdr:grpSpPr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2D37212C-F298-4498-A94D-6883EB41964B}"/>
                </a:ext>
              </a:extLst>
            </xdr:cNvPr>
            <xdr:cNvGrpSpPr/>
          </xdr:nvGrpSpPr>
          <xdr:grpSpPr>
            <a:xfrm>
              <a:off x="5687025" y="3858746"/>
              <a:ext cx="5229186" cy="1948136"/>
              <a:chOff x="4708098" y="267261"/>
              <a:chExt cx="5264577" cy="1948136"/>
            </a:xfrm>
          </xdr:grpSpPr>
          <xdr:grpSp>
            <xdr:nvGrpSpPr>
              <xdr:cNvPr id="24" name="Group 23">
                <a:extLst>
                  <a:ext uri="{FF2B5EF4-FFF2-40B4-BE49-F238E27FC236}">
                    <a16:creationId xmlns:a16="http://schemas.microsoft.com/office/drawing/2014/main" id="{6CCE9D0E-E29D-4F9F-96CE-5191D849B4F0}"/>
                  </a:ext>
                </a:extLst>
              </xdr:cNvPr>
              <xdr:cNvGrpSpPr/>
            </xdr:nvGrpSpPr>
            <xdr:grpSpPr>
              <a:xfrm>
                <a:off x="4708098" y="267261"/>
                <a:ext cx="5264577" cy="1948136"/>
                <a:chOff x="4708098" y="267261"/>
                <a:chExt cx="5264577" cy="1948136"/>
              </a:xfrm>
            </xdr:grpSpPr>
            <xdr:pic>
              <xdr:nvPicPr>
                <xdr:cNvPr id="34" name="Picture 33">
                  <a:extLst>
                    <a:ext uri="{FF2B5EF4-FFF2-40B4-BE49-F238E27FC236}">
                      <a16:creationId xmlns:a16="http://schemas.microsoft.com/office/drawing/2014/main" id="{EE3D10BD-7297-4758-BF6C-14297B5C100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/>
              </xdr:blipFill>
              <xdr:spPr>
                <a:xfrm>
                  <a:off x="5240792" y="447675"/>
                  <a:ext cx="3053441" cy="1767722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5" name="TextBox 34">
                  <a:extLst>
                    <a:ext uri="{FF2B5EF4-FFF2-40B4-BE49-F238E27FC236}">
                      <a16:creationId xmlns:a16="http://schemas.microsoft.com/office/drawing/2014/main" id="{1CB6161D-164C-4952-93E8-408F43621849}"/>
                    </a:ext>
                  </a:extLst>
                </xdr:cNvPr>
                <xdr:cNvSpPr txBox="1"/>
              </xdr:nvSpPr>
              <xdr:spPr>
                <a:xfrm>
                  <a:off x="6477000" y="267261"/>
                  <a:ext cx="514350" cy="1714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ctr"/>
                  <a:r>
                    <a:rPr lang="id-ID" sz="1100"/>
                    <a:t>b = 776</a:t>
                  </a:r>
                </a:p>
              </xdr:txBody>
            </xdr:sp>
            <xdr:cxnSp macro="">
              <xdr:nvCxnSpPr>
                <xdr:cNvPr id="36" name="Straight Connector 35">
                  <a:extLst>
                    <a:ext uri="{FF2B5EF4-FFF2-40B4-BE49-F238E27FC236}">
                      <a16:creationId xmlns:a16="http://schemas.microsoft.com/office/drawing/2014/main" id="{8314DDE7-61B4-4094-B868-A025239365FB}"/>
                    </a:ext>
                  </a:extLst>
                </xdr:cNvPr>
                <xdr:cNvCxnSpPr/>
              </xdr:nvCxnSpPr>
              <xdr:spPr>
                <a:xfrm>
                  <a:off x="5324475" y="697953"/>
                  <a:ext cx="3002822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7" name="Straight Arrow Connector 36">
                  <a:extLst>
                    <a:ext uri="{FF2B5EF4-FFF2-40B4-BE49-F238E27FC236}">
                      <a16:creationId xmlns:a16="http://schemas.microsoft.com/office/drawing/2014/main" id="{CE262159-8F37-43AB-9B96-DAF94FC77C08}"/>
                    </a:ext>
                  </a:extLst>
                </xdr:cNvPr>
                <xdr:cNvCxnSpPr/>
              </xdr:nvCxnSpPr>
              <xdr:spPr>
                <a:xfrm>
                  <a:off x="8272528" y="699596"/>
                  <a:ext cx="0" cy="1129862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83FB2F16-D2E1-45BB-B839-4B9D97CEDE4F}"/>
                    </a:ext>
                  </a:extLst>
                </xdr:cNvPr>
                <xdr:cNvSpPr txBox="1"/>
              </xdr:nvSpPr>
              <xdr:spPr>
                <a:xfrm>
                  <a:off x="8322499" y="953487"/>
                  <a:ext cx="602944" cy="16304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d1' = 289</a:t>
                  </a:r>
                </a:p>
              </xdr:txBody>
            </xdr:sp>
            <xdr:cxnSp macro="">
              <xdr:nvCxnSpPr>
                <xdr:cNvPr id="39" name="Straight Connector 38">
                  <a:extLst>
                    <a:ext uri="{FF2B5EF4-FFF2-40B4-BE49-F238E27FC236}">
                      <a16:creationId xmlns:a16="http://schemas.microsoft.com/office/drawing/2014/main" id="{CDF337BF-1876-47A1-8B7D-EF4907526534}"/>
                    </a:ext>
                  </a:extLst>
                </xdr:cNvPr>
                <xdr:cNvCxnSpPr/>
              </xdr:nvCxnSpPr>
              <xdr:spPr>
                <a:xfrm>
                  <a:off x="5324475" y="1377840"/>
                  <a:ext cx="3533775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0" name="Straight Arrow Connector 39">
                  <a:extLst>
                    <a:ext uri="{FF2B5EF4-FFF2-40B4-BE49-F238E27FC236}">
                      <a16:creationId xmlns:a16="http://schemas.microsoft.com/office/drawing/2014/main" id="{85FF1210-30EB-4D0F-BE78-ED2D246B812B}"/>
                    </a:ext>
                  </a:extLst>
                </xdr:cNvPr>
                <xdr:cNvCxnSpPr/>
              </xdr:nvCxnSpPr>
              <xdr:spPr>
                <a:xfrm>
                  <a:off x="8801100" y="1382768"/>
                  <a:ext cx="0" cy="446690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1" name="Straight Connector 40">
                  <a:extLst>
                    <a:ext uri="{FF2B5EF4-FFF2-40B4-BE49-F238E27FC236}">
                      <a16:creationId xmlns:a16="http://schemas.microsoft.com/office/drawing/2014/main" id="{7F58D6EB-7366-4D1F-87DF-06A8431AB7F9}"/>
                    </a:ext>
                  </a:extLst>
                </xdr:cNvPr>
                <xdr:cNvCxnSpPr/>
              </xdr:nvCxnSpPr>
              <xdr:spPr>
                <a:xfrm>
                  <a:off x="5317854" y="513365"/>
                  <a:ext cx="4150278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2" name="TextBox 41">
                  <a:extLst>
                    <a:ext uri="{FF2B5EF4-FFF2-40B4-BE49-F238E27FC236}">
                      <a16:creationId xmlns:a16="http://schemas.microsoft.com/office/drawing/2014/main" id="{6743DC04-AEB4-42BE-851A-B3E0703B8045}"/>
                    </a:ext>
                  </a:extLst>
                </xdr:cNvPr>
                <xdr:cNvSpPr txBox="1"/>
              </xdr:nvSpPr>
              <xdr:spPr>
                <a:xfrm>
                  <a:off x="8848724" y="1484749"/>
                  <a:ext cx="603299" cy="20110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d2' = 118</a:t>
                  </a:r>
                </a:p>
              </xdr:txBody>
            </xdr:sp>
            <xdr:cxnSp macro="">
              <xdr:nvCxnSpPr>
                <xdr:cNvPr id="43" name="Straight Connector 42">
                  <a:extLst>
                    <a:ext uri="{FF2B5EF4-FFF2-40B4-BE49-F238E27FC236}">
                      <a16:creationId xmlns:a16="http://schemas.microsoft.com/office/drawing/2014/main" id="{A22636A6-088C-4A6B-9B35-2FD8FBD98A67}"/>
                    </a:ext>
                  </a:extLst>
                </xdr:cNvPr>
                <xdr:cNvCxnSpPr/>
              </xdr:nvCxnSpPr>
              <xdr:spPr>
                <a:xfrm>
                  <a:off x="5324475" y="1828472"/>
                  <a:ext cx="4133850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4" name="Straight Arrow Connector 43">
                  <a:extLst>
                    <a:ext uri="{FF2B5EF4-FFF2-40B4-BE49-F238E27FC236}">
                      <a16:creationId xmlns:a16="http://schemas.microsoft.com/office/drawing/2014/main" id="{1B98249C-FB12-44B7-A7CE-C3426659EA5B}"/>
                    </a:ext>
                  </a:extLst>
                </xdr:cNvPr>
                <xdr:cNvCxnSpPr/>
              </xdr:nvCxnSpPr>
              <xdr:spPr>
                <a:xfrm>
                  <a:off x="9420225" y="522234"/>
                  <a:ext cx="0" cy="1307224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5" name="TextBox 44">
                  <a:extLst>
                    <a:ext uri="{FF2B5EF4-FFF2-40B4-BE49-F238E27FC236}">
                      <a16:creationId xmlns:a16="http://schemas.microsoft.com/office/drawing/2014/main" id="{BD5A6855-A3D4-41B6-B24C-7E44C588AC15}"/>
                    </a:ext>
                  </a:extLst>
                </xdr:cNvPr>
                <xdr:cNvSpPr txBox="1"/>
              </xdr:nvSpPr>
              <xdr:spPr>
                <a:xfrm>
                  <a:off x="9458325" y="1043481"/>
                  <a:ext cx="514350" cy="1714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H = 350</a:t>
                  </a:r>
                </a:p>
              </xdr:txBody>
            </xdr:sp>
            <xdr:sp macro="" textlink="">
              <xdr:nvSpPr>
                <xdr:cNvPr id="46" name="TextBox 45">
                  <a:extLst>
                    <a:ext uri="{FF2B5EF4-FFF2-40B4-BE49-F238E27FC236}">
                      <a16:creationId xmlns:a16="http://schemas.microsoft.com/office/drawing/2014/main" id="{8C8F0747-09A5-4D38-9AB2-9A7D818545DF}"/>
                    </a:ext>
                  </a:extLst>
                </xdr:cNvPr>
                <xdr:cNvSpPr txBox="1"/>
              </xdr:nvSpPr>
              <xdr:spPr>
                <a:xfrm>
                  <a:off x="4708098" y="510079"/>
                  <a:ext cx="555019" cy="38658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r"/>
                  <a:r>
                    <a:rPr lang="id-ID" sz="1100"/>
                    <a:t>As1</a:t>
                  </a:r>
                  <a:endParaRPr lang="id-ID" sz="1100" baseline="0"/>
                </a:p>
                <a:p>
                  <a:pPr algn="r"/>
                  <a:r>
                    <a:rPr lang="id-ID" sz="1100" baseline="0"/>
                    <a:t>7D22-100</a:t>
                  </a:r>
                  <a:endParaRPr lang="id-ID" sz="1100"/>
                </a:p>
              </xdr:txBody>
            </xdr:sp>
          </xdr:grpSp>
          <xdr:cxnSp macro="">
            <xdr:nvCxnSpPr>
              <xdr:cNvPr id="26" name="Straight Arrow Connector 25">
                <a:extLst>
                  <a:ext uri="{FF2B5EF4-FFF2-40B4-BE49-F238E27FC236}">
                    <a16:creationId xmlns:a16="http://schemas.microsoft.com/office/drawing/2014/main" id="{0774D007-E048-44AC-A6C0-8F929F034F27}"/>
                  </a:ext>
                </a:extLst>
              </xdr:cNvPr>
              <xdr:cNvCxnSpPr/>
            </xdr:nvCxnSpPr>
            <xdr:spPr>
              <a:xfrm>
                <a:off x="5311297" y="427505"/>
                <a:ext cx="2897982" cy="0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D0757F27-20B1-4223-96BF-31BB62637ECB}"/>
                </a:ext>
              </a:extLst>
            </xdr:cNvPr>
            <xdr:cNvSpPr txBox="1"/>
          </xdr:nvSpPr>
          <xdr:spPr>
            <a:xfrm>
              <a:off x="7133569" y="4665008"/>
              <a:ext cx="1192402" cy="1423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0"/>
            <a:lstStyle/>
            <a:p>
              <a:pPr algn="ctr"/>
              <a:r>
                <a:rPr lang="id-ID" sz="1100">
                  <a:solidFill>
                    <a:srgbClr val="FF0000"/>
                  </a:solidFill>
                </a:rPr>
                <a:t>Momen Negatif</a:t>
              </a:r>
            </a:p>
          </xdr:txBody>
        </xdr:sp>
      </xdr:grpSp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917237DE-9DD9-49C3-9B27-218E9E6B55DB}"/>
              </a:ext>
            </a:extLst>
          </xdr:cNvPr>
          <xdr:cNvSpPr txBox="1"/>
        </xdr:nvSpPr>
        <xdr:spPr>
          <a:xfrm>
            <a:off x="5392838" y="4895096"/>
            <a:ext cx="558072" cy="386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r"/>
            <a:r>
              <a:rPr lang="id-ID" sz="1100"/>
              <a:t>As2</a:t>
            </a:r>
            <a:endParaRPr lang="id-ID" sz="1100" baseline="0"/>
          </a:p>
          <a:p>
            <a:pPr algn="r"/>
            <a:r>
              <a:rPr lang="id-ID" sz="1100" baseline="0"/>
              <a:t>7D16-100</a:t>
            </a:r>
            <a:endParaRPr lang="id-ID" sz="1100"/>
          </a:p>
        </xdr:txBody>
      </xdr: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F194BF2C-F172-4950-857B-2B09A1919ADC}"/>
              </a:ext>
            </a:extLst>
          </xdr:cNvPr>
          <xdr:cNvSpPr txBox="1"/>
        </xdr:nvSpPr>
        <xdr:spPr>
          <a:xfrm>
            <a:off x="5392838" y="5368062"/>
            <a:ext cx="558072" cy="386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r"/>
            <a:r>
              <a:rPr lang="id-ID" sz="1100"/>
              <a:t>As3</a:t>
            </a:r>
          </a:p>
        </xdr:txBody>
      </xdr:sp>
    </xdr:grpSp>
    <xdr:clientData/>
  </xdr:twoCellAnchor>
  <xdr:twoCellAnchor>
    <xdr:from>
      <xdr:col>9</xdr:col>
      <xdr:colOff>91968</xdr:colOff>
      <xdr:row>0</xdr:row>
      <xdr:rowOff>0</xdr:rowOff>
    </xdr:from>
    <xdr:to>
      <xdr:col>18</xdr:col>
      <xdr:colOff>367555</xdr:colOff>
      <xdr:row>10</xdr:row>
      <xdr:rowOff>43136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E7B87951-B873-48A0-8BEA-6AC031B3C73A}"/>
            </a:ext>
          </a:extLst>
        </xdr:cNvPr>
        <xdr:cNvGrpSpPr/>
      </xdr:nvGrpSpPr>
      <xdr:grpSpPr>
        <a:xfrm>
          <a:off x="5336321" y="0"/>
          <a:ext cx="5228587" cy="1948136"/>
          <a:chOff x="5687025" y="3858746"/>
          <a:chExt cx="5229186" cy="1948136"/>
        </a:xfrm>
      </xdr:grpSpPr>
      <xdr:grpSp>
        <xdr:nvGrpSpPr>
          <xdr:cNvPr id="64" name="Group 63">
            <a:extLst>
              <a:ext uri="{FF2B5EF4-FFF2-40B4-BE49-F238E27FC236}">
                <a16:creationId xmlns:a16="http://schemas.microsoft.com/office/drawing/2014/main" id="{ACB61823-B315-497A-92E2-14E8213C2A0A}"/>
              </a:ext>
            </a:extLst>
          </xdr:cNvPr>
          <xdr:cNvGrpSpPr/>
        </xdr:nvGrpSpPr>
        <xdr:grpSpPr>
          <a:xfrm>
            <a:off x="5687025" y="3858746"/>
            <a:ext cx="5229186" cy="1948136"/>
            <a:chOff x="4708098" y="267261"/>
            <a:chExt cx="5264577" cy="1948136"/>
          </a:xfrm>
        </xdr:grpSpPr>
        <xdr:grpSp>
          <xdr:nvGrpSpPr>
            <xdr:cNvPr id="66" name="Group 65">
              <a:extLst>
                <a:ext uri="{FF2B5EF4-FFF2-40B4-BE49-F238E27FC236}">
                  <a16:creationId xmlns:a16="http://schemas.microsoft.com/office/drawing/2014/main" id="{644EDC2C-7637-4481-A4C7-7A94B672F927}"/>
                </a:ext>
              </a:extLst>
            </xdr:cNvPr>
            <xdr:cNvGrpSpPr/>
          </xdr:nvGrpSpPr>
          <xdr:grpSpPr>
            <a:xfrm>
              <a:off x="4708098" y="267261"/>
              <a:ext cx="5264577" cy="1948136"/>
              <a:chOff x="4708098" y="267261"/>
              <a:chExt cx="5264577" cy="1948136"/>
            </a:xfrm>
          </xdr:grpSpPr>
          <xdr:pic>
            <xdr:nvPicPr>
              <xdr:cNvPr id="68" name="Picture 67">
                <a:extLst>
                  <a:ext uri="{FF2B5EF4-FFF2-40B4-BE49-F238E27FC236}">
                    <a16:creationId xmlns:a16="http://schemas.microsoft.com/office/drawing/2014/main" id="{C2B16375-2A46-40DA-8B62-C806F5B6393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5240792" y="447675"/>
                <a:ext cx="3053441" cy="1767722"/>
              </a:xfrm>
              <a:prstGeom prst="rect">
                <a:avLst/>
              </a:prstGeom>
            </xdr:spPr>
          </xdr:pic>
          <xdr:sp macro="" textlink="">
            <xdr:nvSpPr>
              <xdr:cNvPr id="69" name="TextBox 68">
                <a:extLst>
                  <a:ext uri="{FF2B5EF4-FFF2-40B4-BE49-F238E27FC236}">
                    <a16:creationId xmlns:a16="http://schemas.microsoft.com/office/drawing/2014/main" id="{9D7A8747-D38C-4FDA-B416-02EEB30F353E}"/>
                  </a:ext>
                </a:extLst>
              </xdr:cNvPr>
              <xdr:cNvSpPr txBox="1"/>
            </xdr:nvSpPr>
            <xdr:spPr>
              <a:xfrm>
                <a:off x="6477000" y="26726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ctr"/>
                <a:r>
                  <a:rPr lang="id-ID" sz="1100"/>
                  <a:t>b = 776</a:t>
                </a:r>
              </a:p>
            </xdr:txBody>
          </xdr:sp>
          <xdr:cxnSp macro="">
            <xdr:nvCxnSpPr>
              <xdr:cNvPr id="70" name="Straight Connector 69">
                <a:extLst>
                  <a:ext uri="{FF2B5EF4-FFF2-40B4-BE49-F238E27FC236}">
                    <a16:creationId xmlns:a16="http://schemas.microsoft.com/office/drawing/2014/main" id="{5EB54800-DF03-4FD4-87DE-29CDB92200E1}"/>
                  </a:ext>
                </a:extLst>
              </xdr:cNvPr>
              <xdr:cNvCxnSpPr/>
            </xdr:nvCxnSpPr>
            <xdr:spPr>
              <a:xfrm>
                <a:off x="5324475" y="697953"/>
                <a:ext cx="3002822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1" name="Straight Arrow Connector 70">
                <a:extLst>
                  <a:ext uri="{FF2B5EF4-FFF2-40B4-BE49-F238E27FC236}">
                    <a16:creationId xmlns:a16="http://schemas.microsoft.com/office/drawing/2014/main" id="{4596E3A3-2DCA-4E4A-B8A5-23C2B58608B8}"/>
                  </a:ext>
                </a:extLst>
              </xdr:cNvPr>
              <xdr:cNvCxnSpPr/>
            </xdr:nvCxnSpPr>
            <xdr:spPr>
              <a:xfrm>
                <a:off x="8272528" y="510313"/>
                <a:ext cx="0" cy="190500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2" name="TextBox 71">
                <a:extLst>
                  <a:ext uri="{FF2B5EF4-FFF2-40B4-BE49-F238E27FC236}">
                    <a16:creationId xmlns:a16="http://schemas.microsoft.com/office/drawing/2014/main" id="{3C6BF78E-055A-4FBD-ADAA-01FABCD25A20}"/>
                  </a:ext>
                </a:extLst>
              </xdr:cNvPr>
              <xdr:cNvSpPr txBox="1"/>
            </xdr:nvSpPr>
            <xdr:spPr>
              <a:xfrm>
                <a:off x="8342169" y="526505"/>
                <a:ext cx="602944" cy="16304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d1' = 61</a:t>
                </a:r>
              </a:p>
            </xdr:txBody>
          </xdr:sp>
          <xdr:cxnSp macro="">
            <xdr:nvCxnSpPr>
              <xdr:cNvPr id="73" name="Straight Connector 72">
                <a:extLst>
                  <a:ext uri="{FF2B5EF4-FFF2-40B4-BE49-F238E27FC236}">
                    <a16:creationId xmlns:a16="http://schemas.microsoft.com/office/drawing/2014/main" id="{5A15F24A-49A1-449C-B3B5-93FD32344CAA}"/>
                  </a:ext>
                </a:extLst>
              </xdr:cNvPr>
              <xdr:cNvCxnSpPr/>
            </xdr:nvCxnSpPr>
            <xdr:spPr>
              <a:xfrm>
                <a:off x="5324475" y="1377840"/>
                <a:ext cx="3599464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4" name="Straight Arrow Connector 73">
                <a:extLst>
                  <a:ext uri="{FF2B5EF4-FFF2-40B4-BE49-F238E27FC236}">
                    <a16:creationId xmlns:a16="http://schemas.microsoft.com/office/drawing/2014/main" id="{7093429A-7FAC-4249-A5C9-A970DDD595E2}"/>
                  </a:ext>
                </a:extLst>
              </xdr:cNvPr>
              <xdr:cNvCxnSpPr/>
            </xdr:nvCxnSpPr>
            <xdr:spPr>
              <a:xfrm>
                <a:off x="8853552" y="503744"/>
                <a:ext cx="0" cy="873672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Straight Connector 74">
                <a:extLst>
                  <a:ext uri="{FF2B5EF4-FFF2-40B4-BE49-F238E27FC236}">
                    <a16:creationId xmlns:a16="http://schemas.microsoft.com/office/drawing/2014/main" id="{AD30D4A8-E14A-4CAF-B115-F1B7671D676C}"/>
                  </a:ext>
                </a:extLst>
              </xdr:cNvPr>
              <xdr:cNvCxnSpPr/>
            </xdr:nvCxnSpPr>
            <xdr:spPr>
              <a:xfrm>
                <a:off x="5317854" y="513365"/>
                <a:ext cx="4150278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6" name="TextBox 75">
                <a:extLst>
                  <a:ext uri="{FF2B5EF4-FFF2-40B4-BE49-F238E27FC236}">
                    <a16:creationId xmlns:a16="http://schemas.microsoft.com/office/drawing/2014/main" id="{ACC852C1-F236-4709-A7E4-F74FA28B3EEB}"/>
                  </a:ext>
                </a:extLst>
              </xdr:cNvPr>
              <xdr:cNvSpPr txBox="1"/>
            </xdr:nvSpPr>
            <xdr:spPr>
              <a:xfrm>
                <a:off x="8881507" y="821283"/>
                <a:ext cx="603299" cy="2011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d2' = 232</a:t>
                </a:r>
              </a:p>
            </xdr:txBody>
          </xdr:sp>
          <xdr:cxnSp macro="">
            <xdr:nvCxnSpPr>
              <xdr:cNvPr id="77" name="Straight Connector 76">
                <a:extLst>
                  <a:ext uri="{FF2B5EF4-FFF2-40B4-BE49-F238E27FC236}">
                    <a16:creationId xmlns:a16="http://schemas.microsoft.com/office/drawing/2014/main" id="{172807CF-64BB-4ECA-8555-BCF5C2A62F9C}"/>
                  </a:ext>
                </a:extLst>
              </xdr:cNvPr>
              <xdr:cNvCxnSpPr/>
            </xdr:nvCxnSpPr>
            <xdr:spPr>
              <a:xfrm>
                <a:off x="5324475" y="1828472"/>
                <a:ext cx="4133850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Straight Arrow Connector 77">
                <a:extLst>
                  <a:ext uri="{FF2B5EF4-FFF2-40B4-BE49-F238E27FC236}">
                    <a16:creationId xmlns:a16="http://schemas.microsoft.com/office/drawing/2014/main" id="{96C8ACC4-58F4-4E4B-91F5-F541DE0C9533}"/>
                  </a:ext>
                </a:extLst>
              </xdr:cNvPr>
              <xdr:cNvCxnSpPr/>
            </xdr:nvCxnSpPr>
            <xdr:spPr>
              <a:xfrm>
                <a:off x="9420225" y="522234"/>
                <a:ext cx="0" cy="1307224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9" name="TextBox 78">
                <a:extLst>
                  <a:ext uri="{FF2B5EF4-FFF2-40B4-BE49-F238E27FC236}">
                    <a16:creationId xmlns:a16="http://schemas.microsoft.com/office/drawing/2014/main" id="{F69DECAD-F978-4C06-BC2E-B53ED191B35F}"/>
                  </a:ext>
                </a:extLst>
              </xdr:cNvPr>
              <xdr:cNvSpPr txBox="1"/>
            </xdr:nvSpPr>
            <xdr:spPr>
              <a:xfrm>
                <a:off x="9458325" y="104348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H = 350</a:t>
                </a:r>
              </a:p>
            </xdr:txBody>
          </xdr:sp>
          <xdr:sp macro="" textlink="">
            <xdr:nvSpPr>
              <xdr:cNvPr id="80" name="TextBox 79">
                <a:extLst>
                  <a:ext uri="{FF2B5EF4-FFF2-40B4-BE49-F238E27FC236}">
                    <a16:creationId xmlns:a16="http://schemas.microsoft.com/office/drawing/2014/main" id="{B41EE307-091E-4423-9C1A-58D0ABECD6A4}"/>
                  </a:ext>
                </a:extLst>
              </xdr:cNvPr>
              <xdr:cNvSpPr txBox="1"/>
            </xdr:nvSpPr>
            <xdr:spPr>
              <a:xfrm>
                <a:off x="4708098" y="510079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7D22-100</a:t>
                </a:r>
                <a:endParaRPr lang="id-ID" sz="1100"/>
              </a:p>
            </xdr:txBody>
          </xdr:sp>
          <xdr:sp macro="" textlink="">
            <xdr:nvSpPr>
              <xdr:cNvPr id="87" name="TextBox 86">
                <a:extLst>
                  <a:ext uri="{FF2B5EF4-FFF2-40B4-BE49-F238E27FC236}">
                    <a16:creationId xmlns:a16="http://schemas.microsoft.com/office/drawing/2014/main" id="{60A541FC-F036-41D4-BC6B-89FF003B4E4F}"/>
                  </a:ext>
                </a:extLst>
              </xdr:cNvPr>
              <xdr:cNvSpPr txBox="1"/>
            </xdr:nvSpPr>
            <xdr:spPr>
              <a:xfrm>
                <a:off x="4708098" y="1197535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7D16-100</a:t>
                </a:r>
                <a:endParaRPr lang="id-ID" sz="1100"/>
              </a:p>
            </xdr:txBody>
          </xdr:sp>
          <xdr:sp macro="" textlink="">
            <xdr:nvSpPr>
              <xdr:cNvPr id="88" name="TextBox 87">
                <a:extLst>
                  <a:ext uri="{FF2B5EF4-FFF2-40B4-BE49-F238E27FC236}">
                    <a16:creationId xmlns:a16="http://schemas.microsoft.com/office/drawing/2014/main" id="{986A7A6E-0DA8-436A-AD4C-6CE7254A4F6F}"/>
                  </a:ext>
                </a:extLst>
              </xdr:cNvPr>
              <xdr:cNvSpPr txBox="1"/>
            </xdr:nvSpPr>
            <xdr:spPr>
              <a:xfrm>
                <a:off x="4708098" y="1661361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As3</a:t>
                </a:r>
              </a:p>
            </xdr:txBody>
          </xdr:sp>
        </xdr:grpSp>
        <xdr:cxnSp macro="">
          <xdr:nvCxnSpPr>
            <xdr:cNvPr id="67" name="Straight Arrow Connector 66">
              <a:extLst>
                <a:ext uri="{FF2B5EF4-FFF2-40B4-BE49-F238E27FC236}">
                  <a16:creationId xmlns:a16="http://schemas.microsoft.com/office/drawing/2014/main" id="{0F4BCD12-0817-4846-8C00-1212C2A2066E}"/>
                </a:ext>
              </a:extLst>
            </xdr:cNvPr>
            <xdr:cNvCxnSpPr/>
          </xdr:nvCxnSpPr>
          <xdr:spPr>
            <a:xfrm>
              <a:off x="5311297" y="427505"/>
              <a:ext cx="2897982" cy="0"/>
            </a:xfrm>
            <a:prstGeom prst="straightConnector1">
              <a:avLst/>
            </a:prstGeom>
            <a:ln>
              <a:headEnd type="triangle"/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65" name="TextBox 64">
            <a:extLst>
              <a:ext uri="{FF2B5EF4-FFF2-40B4-BE49-F238E27FC236}">
                <a16:creationId xmlns:a16="http://schemas.microsoft.com/office/drawing/2014/main" id="{D524F6F4-B5EE-429C-81C7-FB83C7A8AAB8}"/>
              </a:ext>
            </a:extLst>
          </xdr:cNvPr>
          <xdr:cNvSpPr txBox="1"/>
        </xdr:nvSpPr>
        <xdr:spPr>
          <a:xfrm>
            <a:off x="7133569" y="4665008"/>
            <a:ext cx="1192402" cy="1423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ctr"/>
            <a:r>
              <a:rPr lang="id-ID" sz="1100">
                <a:solidFill>
                  <a:srgbClr val="FF0000"/>
                </a:solidFill>
              </a:rPr>
              <a:t>Momen Positif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122705</xdr:colOff>
      <xdr:row>1</xdr:row>
      <xdr:rowOff>131730</xdr:rowOff>
    </xdr:from>
    <xdr:to>
      <xdr:col>24</xdr:col>
      <xdr:colOff>155855</xdr:colOff>
      <xdr:row>13</xdr:row>
      <xdr:rowOff>110938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17361D-06E4-4BAD-9901-8842ADBB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3605" y="322230"/>
          <a:ext cx="4294746" cy="2265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571500</xdr:colOff>
      <xdr:row>20</xdr:row>
      <xdr:rowOff>172010</xdr:rowOff>
    </xdr:from>
    <xdr:to>
      <xdr:col>18</xdr:col>
      <xdr:colOff>166730</xdr:colOff>
      <xdr:row>31</xdr:row>
      <xdr:rowOff>24646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F7FDA97F-266B-4A67-9177-77B251632D37}"/>
            </a:ext>
          </a:extLst>
        </xdr:cNvPr>
        <xdr:cNvGrpSpPr/>
      </xdr:nvGrpSpPr>
      <xdr:grpSpPr>
        <a:xfrm>
          <a:off x="5229225" y="3982010"/>
          <a:ext cx="5195930" cy="1948136"/>
          <a:chOff x="5392838" y="3982010"/>
          <a:chExt cx="5294847" cy="1948136"/>
        </a:xfrm>
      </xdr:grpSpPr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66CDCBD6-2334-47AA-B2CF-01551BF6FCF8}"/>
              </a:ext>
            </a:extLst>
          </xdr:cNvPr>
          <xdr:cNvGrpSpPr/>
        </xdr:nvGrpSpPr>
        <xdr:grpSpPr>
          <a:xfrm>
            <a:off x="5392838" y="3982010"/>
            <a:ext cx="5294847" cy="1948136"/>
            <a:chOff x="5687025" y="3858746"/>
            <a:chExt cx="5229186" cy="1948136"/>
          </a:xfrm>
        </xdr:grpSpPr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74933A44-DBAC-4ABD-8E4D-232D7DA23641}"/>
                </a:ext>
              </a:extLst>
            </xdr:cNvPr>
            <xdr:cNvGrpSpPr/>
          </xdr:nvGrpSpPr>
          <xdr:grpSpPr>
            <a:xfrm>
              <a:off x="5687025" y="3858746"/>
              <a:ext cx="5229186" cy="1948136"/>
              <a:chOff x="4708098" y="267261"/>
              <a:chExt cx="5264577" cy="1948136"/>
            </a:xfrm>
          </xdr:grpSpPr>
          <xdr:grpSp>
            <xdr:nvGrpSpPr>
              <xdr:cNvPr id="49" name="Group 48">
                <a:extLst>
                  <a:ext uri="{FF2B5EF4-FFF2-40B4-BE49-F238E27FC236}">
                    <a16:creationId xmlns:a16="http://schemas.microsoft.com/office/drawing/2014/main" id="{4672E1EC-AF25-4DC2-8F4C-50C9275E87DC}"/>
                  </a:ext>
                </a:extLst>
              </xdr:cNvPr>
              <xdr:cNvGrpSpPr/>
            </xdr:nvGrpSpPr>
            <xdr:grpSpPr>
              <a:xfrm>
                <a:off x="4708098" y="267261"/>
                <a:ext cx="5264577" cy="1948136"/>
                <a:chOff x="4708098" y="267261"/>
                <a:chExt cx="5264577" cy="1948136"/>
              </a:xfrm>
            </xdr:grpSpPr>
            <xdr:pic>
              <xdr:nvPicPr>
                <xdr:cNvPr id="51" name="Picture 50">
                  <a:extLst>
                    <a:ext uri="{FF2B5EF4-FFF2-40B4-BE49-F238E27FC236}">
                      <a16:creationId xmlns:a16="http://schemas.microsoft.com/office/drawing/2014/main" id="{FCE3F342-55BE-4921-A9F8-FABF8B3CF94C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/>
              </xdr:blipFill>
              <xdr:spPr>
                <a:xfrm>
                  <a:off x="5240792" y="447675"/>
                  <a:ext cx="3053441" cy="1767722"/>
                </a:xfrm>
                <a:prstGeom prst="rect">
                  <a:avLst/>
                </a:prstGeom>
              </xdr:spPr>
            </xdr:pic>
            <xdr:sp macro="" textlink="">
              <xdr:nvSpPr>
                <xdr:cNvPr id="52" name="TextBox 51">
                  <a:extLst>
                    <a:ext uri="{FF2B5EF4-FFF2-40B4-BE49-F238E27FC236}">
                      <a16:creationId xmlns:a16="http://schemas.microsoft.com/office/drawing/2014/main" id="{E991B40E-C626-4E0D-A601-9B26E156ECAF}"/>
                    </a:ext>
                  </a:extLst>
                </xdr:cNvPr>
                <xdr:cNvSpPr txBox="1"/>
              </xdr:nvSpPr>
              <xdr:spPr>
                <a:xfrm>
                  <a:off x="6477000" y="267261"/>
                  <a:ext cx="514350" cy="1714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ctr"/>
                  <a:r>
                    <a:rPr lang="id-ID" sz="1100"/>
                    <a:t>b = 776</a:t>
                  </a:r>
                </a:p>
              </xdr:txBody>
            </xdr:sp>
            <xdr:cxnSp macro="">
              <xdr:nvCxnSpPr>
                <xdr:cNvPr id="53" name="Straight Connector 52">
                  <a:extLst>
                    <a:ext uri="{FF2B5EF4-FFF2-40B4-BE49-F238E27FC236}">
                      <a16:creationId xmlns:a16="http://schemas.microsoft.com/office/drawing/2014/main" id="{DFC2DF82-9650-466E-B684-BB9627281E7E}"/>
                    </a:ext>
                  </a:extLst>
                </xdr:cNvPr>
                <xdr:cNvCxnSpPr/>
              </xdr:nvCxnSpPr>
              <xdr:spPr>
                <a:xfrm>
                  <a:off x="5324475" y="697953"/>
                  <a:ext cx="3002822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4" name="Straight Arrow Connector 53">
                  <a:extLst>
                    <a:ext uri="{FF2B5EF4-FFF2-40B4-BE49-F238E27FC236}">
                      <a16:creationId xmlns:a16="http://schemas.microsoft.com/office/drawing/2014/main" id="{BAA1DB41-64F6-4B85-8ECE-50AB20E379A6}"/>
                    </a:ext>
                  </a:extLst>
                </xdr:cNvPr>
                <xdr:cNvCxnSpPr/>
              </xdr:nvCxnSpPr>
              <xdr:spPr>
                <a:xfrm>
                  <a:off x="8272528" y="699596"/>
                  <a:ext cx="0" cy="1129862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55" name="TextBox 54">
                  <a:extLst>
                    <a:ext uri="{FF2B5EF4-FFF2-40B4-BE49-F238E27FC236}">
                      <a16:creationId xmlns:a16="http://schemas.microsoft.com/office/drawing/2014/main" id="{B51ECAFA-C8E5-4175-B38E-7B03B934358A}"/>
                    </a:ext>
                  </a:extLst>
                </xdr:cNvPr>
                <xdr:cNvSpPr txBox="1"/>
              </xdr:nvSpPr>
              <xdr:spPr>
                <a:xfrm>
                  <a:off x="8322499" y="953487"/>
                  <a:ext cx="602944" cy="16304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d1' = 289</a:t>
                  </a:r>
                </a:p>
              </xdr:txBody>
            </xdr:sp>
            <xdr:cxnSp macro="">
              <xdr:nvCxnSpPr>
                <xdr:cNvPr id="56" name="Straight Connector 55">
                  <a:extLst>
                    <a:ext uri="{FF2B5EF4-FFF2-40B4-BE49-F238E27FC236}">
                      <a16:creationId xmlns:a16="http://schemas.microsoft.com/office/drawing/2014/main" id="{8A261142-E39F-4894-A423-BA50DAA47D95}"/>
                    </a:ext>
                  </a:extLst>
                </xdr:cNvPr>
                <xdr:cNvCxnSpPr/>
              </xdr:nvCxnSpPr>
              <xdr:spPr>
                <a:xfrm>
                  <a:off x="5324475" y="1377840"/>
                  <a:ext cx="3533775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7" name="Straight Arrow Connector 56">
                  <a:extLst>
                    <a:ext uri="{FF2B5EF4-FFF2-40B4-BE49-F238E27FC236}">
                      <a16:creationId xmlns:a16="http://schemas.microsoft.com/office/drawing/2014/main" id="{EB0A1345-5471-4278-BB76-CB0F4D7E36D7}"/>
                    </a:ext>
                  </a:extLst>
                </xdr:cNvPr>
                <xdr:cNvCxnSpPr/>
              </xdr:nvCxnSpPr>
              <xdr:spPr>
                <a:xfrm>
                  <a:off x="8801100" y="1382768"/>
                  <a:ext cx="0" cy="446690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8" name="Straight Connector 57">
                  <a:extLst>
                    <a:ext uri="{FF2B5EF4-FFF2-40B4-BE49-F238E27FC236}">
                      <a16:creationId xmlns:a16="http://schemas.microsoft.com/office/drawing/2014/main" id="{A2710430-0998-4108-AA0A-FE1B751306C7}"/>
                    </a:ext>
                  </a:extLst>
                </xdr:cNvPr>
                <xdr:cNvCxnSpPr/>
              </xdr:nvCxnSpPr>
              <xdr:spPr>
                <a:xfrm>
                  <a:off x="5317854" y="513365"/>
                  <a:ext cx="4150278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59" name="TextBox 58">
                  <a:extLst>
                    <a:ext uri="{FF2B5EF4-FFF2-40B4-BE49-F238E27FC236}">
                      <a16:creationId xmlns:a16="http://schemas.microsoft.com/office/drawing/2014/main" id="{0E53AE79-B575-4895-AEBC-01125BC51043}"/>
                    </a:ext>
                  </a:extLst>
                </xdr:cNvPr>
                <xdr:cNvSpPr txBox="1"/>
              </xdr:nvSpPr>
              <xdr:spPr>
                <a:xfrm>
                  <a:off x="8848724" y="1484749"/>
                  <a:ext cx="603299" cy="20110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d2' = 118</a:t>
                  </a:r>
                </a:p>
              </xdr:txBody>
            </xdr:sp>
            <xdr:cxnSp macro="">
              <xdr:nvCxnSpPr>
                <xdr:cNvPr id="60" name="Straight Connector 59">
                  <a:extLst>
                    <a:ext uri="{FF2B5EF4-FFF2-40B4-BE49-F238E27FC236}">
                      <a16:creationId xmlns:a16="http://schemas.microsoft.com/office/drawing/2014/main" id="{3ADE9BA8-E9B6-427A-AF47-BE740A368906}"/>
                    </a:ext>
                  </a:extLst>
                </xdr:cNvPr>
                <xdr:cNvCxnSpPr/>
              </xdr:nvCxnSpPr>
              <xdr:spPr>
                <a:xfrm>
                  <a:off x="5324475" y="1828472"/>
                  <a:ext cx="4133850" cy="0"/>
                </a:xfrm>
                <a:prstGeom prst="line">
                  <a:avLst/>
                </a:prstGeom>
                <a:ln>
                  <a:prstDash val="lgDash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1" name="Straight Arrow Connector 60">
                  <a:extLst>
                    <a:ext uri="{FF2B5EF4-FFF2-40B4-BE49-F238E27FC236}">
                      <a16:creationId xmlns:a16="http://schemas.microsoft.com/office/drawing/2014/main" id="{CC752641-DA8F-4AA1-B4A4-94CE905E32E6}"/>
                    </a:ext>
                  </a:extLst>
                </xdr:cNvPr>
                <xdr:cNvCxnSpPr/>
              </xdr:nvCxnSpPr>
              <xdr:spPr>
                <a:xfrm>
                  <a:off x="9420225" y="522234"/>
                  <a:ext cx="0" cy="1307224"/>
                </a:xfrm>
                <a:prstGeom prst="straightConnector1">
                  <a:avLst/>
                </a:prstGeom>
                <a:ln>
                  <a:headEnd type="triangle"/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62" name="TextBox 61">
                  <a:extLst>
                    <a:ext uri="{FF2B5EF4-FFF2-40B4-BE49-F238E27FC236}">
                      <a16:creationId xmlns:a16="http://schemas.microsoft.com/office/drawing/2014/main" id="{8145B145-D669-40D4-A13E-027D65FF178D}"/>
                    </a:ext>
                  </a:extLst>
                </xdr:cNvPr>
                <xdr:cNvSpPr txBox="1"/>
              </xdr:nvSpPr>
              <xdr:spPr>
                <a:xfrm>
                  <a:off x="9458325" y="1043481"/>
                  <a:ext cx="514350" cy="1714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l"/>
                  <a:r>
                    <a:rPr lang="id-ID" sz="1100"/>
                    <a:t>H = 350</a:t>
                  </a:r>
                </a:p>
              </xdr:txBody>
            </xdr:sp>
            <xdr:sp macro="" textlink="">
              <xdr:nvSpPr>
                <xdr:cNvPr id="63" name="TextBox 62">
                  <a:extLst>
                    <a:ext uri="{FF2B5EF4-FFF2-40B4-BE49-F238E27FC236}">
                      <a16:creationId xmlns:a16="http://schemas.microsoft.com/office/drawing/2014/main" id="{2723A2DA-569B-4415-A7F6-63C9580052FC}"/>
                    </a:ext>
                  </a:extLst>
                </xdr:cNvPr>
                <xdr:cNvSpPr txBox="1"/>
              </xdr:nvSpPr>
              <xdr:spPr>
                <a:xfrm>
                  <a:off x="4708098" y="510079"/>
                  <a:ext cx="555019" cy="38658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ctr" anchorCtr="0"/>
                <a:lstStyle/>
                <a:p>
                  <a:pPr algn="r"/>
                  <a:r>
                    <a:rPr lang="id-ID" sz="1100"/>
                    <a:t>As1</a:t>
                  </a:r>
                  <a:endParaRPr lang="id-ID" sz="1100" baseline="0"/>
                </a:p>
                <a:p>
                  <a:pPr algn="r"/>
                  <a:r>
                    <a:rPr lang="id-ID" sz="1100" baseline="0"/>
                    <a:t>7D22-100</a:t>
                  </a:r>
                  <a:endParaRPr lang="id-ID" sz="1100"/>
                </a:p>
              </xdr:txBody>
            </xdr:sp>
          </xdr:grpSp>
          <xdr:cxnSp macro="">
            <xdr:nvCxnSpPr>
              <xdr:cNvPr id="50" name="Straight Arrow Connector 49">
                <a:extLst>
                  <a:ext uri="{FF2B5EF4-FFF2-40B4-BE49-F238E27FC236}">
                    <a16:creationId xmlns:a16="http://schemas.microsoft.com/office/drawing/2014/main" id="{902A945B-17CA-4075-A6AE-7E74278794F8}"/>
                  </a:ext>
                </a:extLst>
              </xdr:cNvPr>
              <xdr:cNvCxnSpPr/>
            </xdr:nvCxnSpPr>
            <xdr:spPr>
              <a:xfrm>
                <a:off x="5311297" y="427505"/>
                <a:ext cx="2897982" cy="0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7C74CE80-D9BC-4B41-89D0-DB8C4D2C176F}"/>
                </a:ext>
              </a:extLst>
            </xdr:cNvPr>
            <xdr:cNvSpPr txBox="1"/>
          </xdr:nvSpPr>
          <xdr:spPr>
            <a:xfrm>
              <a:off x="7133569" y="4665008"/>
              <a:ext cx="1192402" cy="1423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0"/>
            <a:lstStyle/>
            <a:p>
              <a:pPr algn="ctr"/>
              <a:r>
                <a:rPr lang="id-ID" sz="1100">
                  <a:solidFill>
                    <a:srgbClr val="FF0000"/>
                  </a:solidFill>
                </a:rPr>
                <a:t>Momen Negatif</a:t>
              </a:r>
            </a:p>
          </xdr:txBody>
        </xdr:sp>
      </xdr:grp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3ACDFC20-B1BD-495B-AD42-2A18895328C3}"/>
              </a:ext>
            </a:extLst>
          </xdr:cNvPr>
          <xdr:cNvSpPr txBox="1"/>
        </xdr:nvSpPr>
        <xdr:spPr>
          <a:xfrm>
            <a:off x="5392838" y="4895096"/>
            <a:ext cx="558072" cy="386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r"/>
            <a:r>
              <a:rPr lang="id-ID" sz="1100"/>
              <a:t>As2</a:t>
            </a:r>
            <a:endParaRPr lang="id-ID" sz="1100" baseline="0"/>
          </a:p>
          <a:p>
            <a:pPr algn="r"/>
            <a:r>
              <a:rPr lang="id-ID" sz="1100" baseline="0"/>
              <a:t>7D16-100</a:t>
            </a:r>
            <a:endParaRPr lang="id-ID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5483367D-ADC8-41F4-B2F3-A2DE45EBCFA5}"/>
              </a:ext>
            </a:extLst>
          </xdr:cNvPr>
          <xdr:cNvSpPr txBox="1"/>
        </xdr:nvSpPr>
        <xdr:spPr>
          <a:xfrm>
            <a:off x="5392838" y="5368062"/>
            <a:ext cx="558072" cy="386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r"/>
            <a:r>
              <a:rPr lang="id-ID" sz="1100"/>
              <a:t>As3</a:t>
            </a:r>
          </a:p>
        </xdr:txBody>
      </xdr:sp>
    </xdr:grpSp>
    <xdr:clientData/>
  </xdr:twoCellAnchor>
  <xdr:twoCellAnchor>
    <xdr:from>
      <xdr:col>8</xdr:col>
      <xdr:colOff>571500</xdr:colOff>
      <xdr:row>0</xdr:row>
      <xdr:rowOff>0</xdr:rowOff>
    </xdr:from>
    <xdr:to>
      <xdr:col>18</xdr:col>
      <xdr:colOff>166730</xdr:colOff>
      <xdr:row>10</xdr:row>
      <xdr:rowOff>43136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03231F58-93E8-47FE-BE27-63C6AB0B1703}"/>
            </a:ext>
          </a:extLst>
        </xdr:cNvPr>
        <xdr:cNvGrpSpPr/>
      </xdr:nvGrpSpPr>
      <xdr:grpSpPr>
        <a:xfrm>
          <a:off x="5229225" y="0"/>
          <a:ext cx="5195930" cy="1948136"/>
          <a:chOff x="5687025" y="3858746"/>
          <a:chExt cx="5229186" cy="1948136"/>
        </a:xfrm>
      </xdr:grpSpPr>
      <xdr:grpSp>
        <xdr:nvGrpSpPr>
          <xdr:cNvPr id="65" name="Group 64">
            <a:extLst>
              <a:ext uri="{FF2B5EF4-FFF2-40B4-BE49-F238E27FC236}">
                <a16:creationId xmlns:a16="http://schemas.microsoft.com/office/drawing/2014/main" id="{105D1698-CECB-4F5F-80AF-339A427D1A85}"/>
              </a:ext>
            </a:extLst>
          </xdr:cNvPr>
          <xdr:cNvGrpSpPr/>
        </xdr:nvGrpSpPr>
        <xdr:grpSpPr>
          <a:xfrm>
            <a:off x="5687025" y="3858746"/>
            <a:ext cx="5229186" cy="1948136"/>
            <a:chOff x="4708098" y="267261"/>
            <a:chExt cx="5264577" cy="1948136"/>
          </a:xfrm>
        </xdr:grpSpPr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4B0C0ECF-600C-469B-A43D-6168A19CCEE4}"/>
                </a:ext>
              </a:extLst>
            </xdr:cNvPr>
            <xdr:cNvGrpSpPr/>
          </xdr:nvGrpSpPr>
          <xdr:grpSpPr>
            <a:xfrm>
              <a:off x="4708098" y="267261"/>
              <a:ext cx="5264577" cy="1948136"/>
              <a:chOff x="4708098" y="267261"/>
              <a:chExt cx="5264577" cy="1948136"/>
            </a:xfrm>
          </xdr:grpSpPr>
          <xdr:pic>
            <xdr:nvPicPr>
              <xdr:cNvPr id="69" name="Picture 68">
                <a:extLst>
                  <a:ext uri="{FF2B5EF4-FFF2-40B4-BE49-F238E27FC236}">
                    <a16:creationId xmlns:a16="http://schemas.microsoft.com/office/drawing/2014/main" id="{964C161C-462C-4537-AA50-44794B6A790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5240792" y="447675"/>
                <a:ext cx="3053441" cy="1767722"/>
              </a:xfrm>
              <a:prstGeom prst="rect">
                <a:avLst/>
              </a:prstGeom>
            </xdr:spPr>
          </xdr:pic>
          <xdr:sp macro="" textlink="">
            <xdr:nvSpPr>
              <xdr:cNvPr id="70" name="TextBox 69">
                <a:extLst>
                  <a:ext uri="{FF2B5EF4-FFF2-40B4-BE49-F238E27FC236}">
                    <a16:creationId xmlns:a16="http://schemas.microsoft.com/office/drawing/2014/main" id="{B543C4A9-820C-424E-A47C-C379CCC894DF}"/>
                  </a:ext>
                </a:extLst>
              </xdr:cNvPr>
              <xdr:cNvSpPr txBox="1"/>
            </xdr:nvSpPr>
            <xdr:spPr>
              <a:xfrm>
                <a:off x="6477000" y="26726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ctr"/>
                <a:r>
                  <a:rPr lang="id-ID" sz="1100"/>
                  <a:t>b = 776</a:t>
                </a:r>
              </a:p>
            </xdr:txBody>
          </xdr:sp>
          <xdr:cxnSp macro="">
            <xdr:nvCxnSpPr>
              <xdr:cNvPr id="71" name="Straight Connector 70">
                <a:extLst>
                  <a:ext uri="{FF2B5EF4-FFF2-40B4-BE49-F238E27FC236}">
                    <a16:creationId xmlns:a16="http://schemas.microsoft.com/office/drawing/2014/main" id="{C38B177E-A7CA-4714-A0F3-0E1185541B57}"/>
                  </a:ext>
                </a:extLst>
              </xdr:cNvPr>
              <xdr:cNvCxnSpPr/>
            </xdr:nvCxnSpPr>
            <xdr:spPr>
              <a:xfrm>
                <a:off x="5324475" y="697953"/>
                <a:ext cx="3002822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2" name="Straight Arrow Connector 71">
                <a:extLst>
                  <a:ext uri="{FF2B5EF4-FFF2-40B4-BE49-F238E27FC236}">
                    <a16:creationId xmlns:a16="http://schemas.microsoft.com/office/drawing/2014/main" id="{342D03FD-C151-4D38-B958-14C50194DDFC}"/>
                  </a:ext>
                </a:extLst>
              </xdr:cNvPr>
              <xdr:cNvCxnSpPr/>
            </xdr:nvCxnSpPr>
            <xdr:spPr>
              <a:xfrm>
                <a:off x="8272528" y="510313"/>
                <a:ext cx="0" cy="190500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3" name="TextBox 72">
                <a:extLst>
                  <a:ext uri="{FF2B5EF4-FFF2-40B4-BE49-F238E27FC236}">
                    <a16:creationId xmlns:a16="http://schemas.microsoft.com/office/drawing/2014/main" id="{5153778D-C548-4198-B3D9-84AC166FACC8}"/>
                  </a:ext>
                </a:extLst>
              </xdr:cNvPr>
              <xdr:cNvSpPr txBox="1"/>
            </xdr:nvSpPr>
            <xdr:spPr>
              <a:xfrm>
                <a:off x="8342169" y="526505"/>
                <a:ext cx="602944" cy="16304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d1' = 61</a:t>
                </a:r>
              </a:p>
            </xdr:txBody>
          </xdr:sp>
          <xdr:cxnSp macro="">
            <xdr:nvCxnSpPr>
              <xdr:cNvPr id="74" name="Straight Connector 73">
                <a:extLst>
                  <a:ext uri="{FF2B5EF4-FFF2-40B4-BE49-F238E27FC236}">
                    <a16:creationId xmlns:a16="http://schemas.microsoft.com/office/drawing/2014/main" id="{4BC34721-2924-4B14-A791-437CAFA2A692}"/>
                  </a:ext>
                </a:extLst>
              </xdr:cNvPr>
              <xdr:cNvCxnSpPr/>
            </xdr:nvCxnSpPr>
            <xdr:spPr>
              <a:xfrm>
                <a:off x="5324475" y="1377840"/>
                <a:ext cx="3599464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Straight Arrow Connector 74">
                <a:extLst>
                  <a:ext uri="{FF2B5EF4-FFF2-40B4-BE49-F238E27FC236}">
                    <a16:creationId xmlns:a16="http://schemas.microsoft.com/office/drawing/2014/main" id="{BAB5C03C-3EE0-47B9-8CE6-8DBC614A5501}"/>
                  </a:ext>
                </a:extLst>
              </xdr:cNvPr>
              <xdr:cNvCxnSpPr/>
            </xdr:nvCxnSpPr>
            <xdr:spPr>
              <a:xfrm>
                <a:off x="8853552" y="503744"/>
                <a:ext cx="0" cy="873672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6" name="Straight Connector 75">
                <a:extLst>
                  <a:ext uri="{FF2B5EF4-FFF2-40B4-BE49-F238E27FC236}">
                    <a16:creationId xmlns:a16="http://schemas.microsoft.com/office/drawing/2014/main" id="{E630DA87-497A-4D32-89FA-A19591E66427}"/>
                  </a:ext>
                </a:extLst>
              </xdr:cNvPr>
              <xdr:cNvCxnSpPr/>
            </xdr:nvCxnSpPr>
            <xdr:spPr>
              <a:xfrm>
                <a:off x="5317854" y="513365"/>
                <a:ext cx="4150278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7" name="TextBox 76">
                <a:extLst>
                  <a:ext uri="{FF2B5EF4-FFF2-40B4-BE49-F238E27FC236}">
                    <a16:creationId xmlns:a16="http://schemas.microsoft.com/office/drawing/2014/main" id="{011378F6-7C2B-4887-A2D2-1BC6B3F84F3D}"/>
                  </a:ext>
                </a:extLst>
              </xdr:cNvPr>
              <xdr:cNvSpPr txBox="1"/>
            </xdr:nvSpPr>
            <xdr:spPr>
              <a:xfrm>
                <a:off x="8881507" y="821283"/>
                <a:ext cx="603299" cy="2011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d2' = 232</a:t>
                </a:r>
              </a:p>
            </xdr:txBody>
          </xdr:sp>
          <xdr:cxnSp macro="">
            <xdr:nvCxnSpPr>
              <xdr:cNvPr id="78" name="Straight Connector 77">
                <a:extLst>
                  <a:ext uri="{FF2B5EF4-FFF2-40B4-BE49-F238E27FC236}">
                    <a16:creationId xmlns:a16="http://schemas.microsoft.com/office/drawing/2014/main" id="{5C5A112B-6012-4608-B36F-E80616853814}"/>
                  </a:ext>
                </a:extLst>
              </xdr:cNvPr>
              <xdr:cNvCxnSpPr/>
            </xdr:nvCxnSpPr>
            <xdr:spPr>
              <a:xfrm>
                <a:off x="5324475" y="1828472"/>
                <a:ext cx="4133850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9" name="Straight Arrow Connector 78">
                <a:extLst>
                  <a:ext uri="{FF2B5EF4-FFF2-40B4-BE49-F238E27FC236}">
                    <a16:creationId xmlns:a16="http://schemas.microsoft.com/office/drawing/2014/main" id="{B9643328-A9EA-4E87-997B-60EB8BA38DDA}"/>
                  </a:ext>
                </a:extLst>
              </xdr:cNvPr>
              <xdr:cNvCxnSpPr/>
            </xdr:nvCxnSpPr>
            <xdr:spPr>
              <a:xfrm>
                <a:off x="9420225" y="522234"/>
                <a:ext cx="0" cy="1307224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0" name="TextBox 79">
                <a:extLst>
                  <a:ext uri="{FF2B5EF4-FFF2-40B4-BE49-F238E27FC236}">
                    <a16:creationId xmlns:a16="http://schemas.microsoft.com/office/drawing/2014/main" id="{B2633135-5FB9-4120-BA73-BF693739F1D7}"/>
                  </a:ext>
                </a:extLst>
              </xdr:cNvPr>
              <xdr:cNvSpPr txBox="1"/>
            </xdr:nvSpPr>
            <xdr:spPr>
              <a:xfrm>
                <a:off x="9458325" y="104348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H = 350</a:t>
                </a:r>
              </a:p>
            </xdr:txBody>
          </xdr:sp>
          <xdr:sp macro="" textlink="">
            <xdr:nvSpPr>
              <xdr:cNvPr id="81" name="TextBox 80">
                <a:extLst>
                  <a:ext uri="{FF2B5EF4-FFF2-40B4-BE49-F238E27FC236}">
                    <a16:creationId xmlns:a16="http://schemas.microsoft.com/office/drawing/2014/main" id="{F8B93983-3356-45AD-8C26-483BA2100C1E}"/>
                  </a:ext>
                </a:extLst>
              </xdr:cNvPr>
              <xdr:cNvSpPr txBox="1"/>
            </xdr:nvSpPr>
            <xdr:spPr>
              <a:xfrm>
                <a:off x="4708098" y="510079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7D22-100</a:t>
                </a:r>
                <a:endParaRPr lang="id-ID" sz="1100"/>
              </a:p>
            </xdr:txBody>
          </xdr:sp>
          <xdr:sp macro="" textlink="">
            <xdr:nvSpPr>
              <xdr:cNvPr id="82" name="TextBox 81">
                <a:extLst>
                  <a:ext uri="{FF2B5EF4-FFF2-40B4-BE49-F238E27FC236}">
                    <a16:creationId xmlns:a16="http://schemas.microsoft.com/office/drawing/2014/main" id="{CF2050E5-6099-4304-8A99-41A10941C355}"/>
                  </a:ext>
                </a:extLst>
              </xdr:cNvPr>
              <xdr:cNvSpPr txBox="1"/>
            </xdr:nvSpPr>
            <xdr:spPr>
              <a:xfrm>
                <a:off x="4708098" y="1197535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7D16-100</a:t>
                </a:r>
                <a:endParaRPr lang="id-ID" sz="1100"/>
              </a:p>
            </xdr:txBody>
          </xdr:sp>
          <xdr:sp macro="" textlink="">
            <xdr:nvSpPr>
              <xdr:cNvPr id="83" name="TextBox 82">
                <a:extLst>
                  <a:ext uri="{FF2B5EF4-FFF2-40B4-BE49-F238E27FC236}">
                    <a16:creationId xmlns:a16="http://schemas.microsoft.com/office/drawing/2014/main" id="{6805E83E-C67C-4D3A-8516-ADED8FF68006}"/>
                  </a:ext>
                </a:extLst>
              </xdr:cNvPr>
              <xdr:cNvSpPr txBox="1"/>
            </xdr:nvSpPr>
            <xdr:spPr>
              <a:xfrm>
                <a:off x="4708098" y="1661361"/>
                <a:ext cx="555019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As3</a:t>
                </a:r>
              </a:p>
            </xdr:txBody>
          </xdr:sp>
        </xdr:grpSp>
        <xdr:cxnSp macro="">
          <xdr:nvCxnSpPr>
            <xdr:cNvPr id="68" name="Straight Arrow Connector 67">
              <a:extLst>
                <a:ext uri="{FF2B5EF4-FFF2-40B4-BE49-F238E27FC236}">
                  <a16:creationId xmlns:a16="http://schemas.microsoft.com/office/drawing/2014/main" id="{C4FCB6C7-89DA-485C-B51D-254CB5D8E618}"/>
                </a:ext>
              </a:extLst>
            </xdr:cNvPr>
            <xdr:cNvCxnSpPr/>
          </xdr:nvCxnSpPr>
          <xdr:spPr>
            <a:xfrm>
              <a:off x="5311297" y="427505"/>
              <a:ext cx="2897982" cy="0"/>
            </a:xfrm>
            <a:prstGeom prst="straightConnector1">
              <a:avLst/>
            </a:prstGeom>
            <a:ln>
              <a:headEnd type="triangle"/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66" name="TextBox 65">
            <a:extLst>
              <a:ext uri="{FF2B5EF4-FFF2-40B4-BE49-F238E27FC236}">
                <a16:creationId xmlns:a16="http://schemas.microsoft.com/office/drawing/2014/main" id="{62CCC109-5C42-40CF-9DA9-6A5265B9A706}"/>
              </a:ext>
            </a:extLst>
          </xdr:cNvPr>
          <xdr:cNvSpPr txBox="1"/>
        </xdr:nvSpPr>
        <xdr:spPr>
          <a:xfrm>
            <a:off x="7133569" y="4665008"/>
            <a:ext cx="1192402" cy="1423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ctr"/>
            <a:r>
              <a:rPr lang="id-ID" sz="1100">
                <a:solidFill>
                  <a:srgbClr val="FF0000"/>
                </a:solidFill>
              </a:rPr>
              <a:t>Momen Positif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257736</xdr:colOff>
      <xdr:row>1</xdr:row>
      <xdr:rowOff>131730</xdr:rowOff>
    </xdr:from>
    <xdr:to>
      <xdr:col>23</xdr:col>
      <xdr:colOff>77974</xdr:colOff>
      <xdr:row>13</xdr:row>
      <xdr:rowOff>110938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2B202-A5E3-403A-B6FB-86CBC6B3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589" y="322230"/>
          <a:ext cx="4268973" cy="2265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448235</xdr:colOff>
      <xdr:row>0</xdr:row>
      <xdr:rowOff>57979</xdr:rowOff>
    </xdr:from>
    <xdr:to>
      <xdr:col>16</xdr:col>
      <xdr:colOff>121906</xdr:colOff>
      <xdr:row>9</xdr:row>
      <xdr:rowOff>165230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EDF64883-F03E-43F4-9948-A23FC60EAB6B}"/>
            </a:ext>
          </a:extLst>
        </xdr:cNvPr>
        <xdr:cNvGrpSpPr/>
      </xdr:nvGrpSpPr>
      <xdr:grpSpPr>
        <a:xfrm>
          <a:off x="4629710" y="57979"/>
          <a:ext cx="5169596" cy="1821751"/>
          <a:chOff x="5698396" y="3751072"/>
          <a:chExt cx="5217815" cy="1821751"/>
        </a:xfrm>
      </xdr:grpSpPr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CA1A26D5-DC2F-4890-8525-4F9E0677FA17}"/>
              </a:ext>
            </a:extLst>
          </xdr:cNvPr>
          <xdr:cNvGrpSpPr/>
        </xdr:nvGrpSpPr>
        <xdr:grpSpPr>
          <a:xfrm>
            <a:off x="5698396" y="3751072"/>
            <a:ext cx="5217815" cy="1821751"/>
            <a:chOff x="4719546" y="159587"/>
            <a:chExt cx="5253129" cy="1821751"/>
          </a:xfrm>
        </xdr:grpSpPr>
        <xdr:grpSp>
          <xdr:nvGrpSpPr>
            <xdr:cNvPr id="27" name="Group 26">
              <a:extLst>
                <a:ext uri="{FF2B5EF4-FFF2-40B4-BE49-F238E27FC236}">
                  <a16:creationId xmlns:a16="http://schemas.microsoft.com/office/drawing/2014/main" id="{9D10B3D7-1D9C-4411-9A16-06B179B55918}"/>
                </a:ext>
              </a:extLst>
            </xdr:cNvPr>
            <xdr:cNvGrpSpPr/>
          </xdr:nvGrpSpPr>
          <xdr:grpSpPr>
            <a:xfrm>
              <a:off x="4719546" y="159587"/>
              <a:ext cx="5253129" cy="1821751"/>
              <a:chOff x="4719546" y="159587"/>
              <a:chExt cx="5253129" cy="1821751"/>
            </a:xfrm>
          </xdr:grpSpPr>
          <xdr:pic>
            <xdr:nvPicPr>
              <xdr:cNvPr id="29" name="Picture 28">
                <a:extLst>
                  <a:ext uri="{FF2B5EF4-FFF2-40B4-BE49-F238E27FC236}">
                    <a16:creationId xmlns:a16="http://schemas.microsoft.com/office/drawing/2014/main" id="{FBEA8342-1808-4B39-B77D-3CD5ED8EBE3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4737146" y="159587"/>
                <a:ext cx="4115330" cy="1821751"/>
              </a:xfrm>
              <a:prstGeom prst="rect">
                <a:avLst/>
              </a:prstGeom>
            </xdr:spPr>
          </xdr:pic>
          <xdr:sp macro="" textlink="">
            <xdr:nvSpPr>
              <xdr:cNvPr id="30" name="TextBox 29">
                <a:extLst>
                  <a:ext uri="{FF2B5EF4-FFF2-40B4-BE49-F238E27FC236}">
                    <a16:creationId xmlns:a16="http://schemas.microsoft.com/office/drawing/2014/main" id="{ECB3B1B9-F6B2-4660-BCDE-465C2D5DB341}"/>
                  </a:ext>
                </a:extLst>
              </xdr:cNvPr>
              <xdr:cNvSpPr txBox="1"/>
            </xdr:nvSpPr>
            <xdr:spPr>
              <a:xfrm>
                <a:off x="6477000" y="26726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ctr"/>
                <a:r>
                  <a:rPr lang="id-ID" sz="1100"/>
                  <a:t>b = 776</a:t>
                </a:r>
              </a:p>
            </xdr:txBody>
          </xdr:sp>
          <xdr:cxnSp macro="">
            <xdr:nvCxnSpPr>
              <xdr:cNvPr id="31" name="Straight Connector 30">
                <a:extLst>
                  <a:ext uri="{FF2B5EF4-FFF2-40B4-BE49-F238E27FC236}">
                    <a16:creationId xmlns:a16="http://schemas.microsoft.com/office/drawing/2014/main" id="{DE6065F5-6C41-4DA1-84EA-4BC893AB469B}"/>
                  </a:ext>
                </a:extLst>
              </xdr:cNvPr>
              <xdr:cNvCxnSpPr/>
            </xdr:nvCxnSpPr>
            <xdr:spPr>
              <a:xfrm>
                <a:off x="5324475" y="739366"/>
                <a:ext cx="3002822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Straight Arrow Connector 31">
                <a:extLst>
                  <a:ext uri="{FF2B5EF4-FFF2-40B4-BE49-F238E27FC236}">
                    <a16:creationId xmlns:a16="http://schemas.microsoft.com/office/drawing/2014/main" id="{358AEECC-2236-4882-8858-85A3542898D3}"/>
                  </a:ext>
                </a:extLst>
              </xdr:cNvPr>
              <xdr:cNvCxnSpPr/>
            </xdr:nvCxnSpPr>
            <xdr:spPr>
              <a:xfrm>
                <a:off x="8272528" y="510313"/>
                <a:ext cx="0" cy="229056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" name="TextBox 32">
                <a:extLst>
                  <a:ext uri="{FF2B5EF4-FFF2-40B4-BE49-F238E27FC236}">
                    <a16:creationId xmlns:a16="http://schemas.microsoft.com/office/drawing/2014/main" id="{59A41B12-8CED-467E-A4F0-E3EB4E1C6E3F}"/>
                  </a:ext>
                </a:extLst>
              </xdr:cNvPr>
              <xdr:cNvSpPr txBox="1"/>
            </xdr:nvSpPr>
            <xdr:spPr>
              <a:xfrm>
                <a:off x="8342169" y="543070"/>
                <a:ext cx="602944" cy="16304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d1' = 61</a:t>
                </a:r>
              </a:p>
            </xdr:txBody>
          </xdr:sp>
          <xdr:cxnSp macro="">
            <xdr:nvCxnSpPr>
              <xdr:cNvPr id="34" name="Straight Connector 33">
                <a:extLst>
                  <a:ext uri="{FF2B5EF4-FFF2-40B4-BE49-F238E27FC236}">
                    <a16:creationId xmlns:a16="http://schemas.microsoft.com/office/drawing/2014/main" id="{84A83E5A-377C-485A-9A14-FF2D2DA561D9}"/>
                  </a:ext>
                </a:extLst>
              </xdr:cNvPr>
              <xdr:cNvCxnSpPr/>
            </xdr:nvCxnSpPr>
            <xdr:spPr>
              <a:xfrm>
                <a:off x="5324475" y="1377840"/>
                <a:ext cx="3599464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Straight Arrow Connector 34">
                <a:extLst>
                  <a:ext uri="{FF2B5EF4-FFF2-40B4-BE49-F238E27FC236}">
                    <a16:creationId xmlns:a16="http://schemas.microsoft.com/office/drawing/2014/main" id="{884BD59B-E3AB-40D8-A08C-17411AB6B7A7}"/>
                  </a:ext>
                </a:extLst>
              </xdr:cNvPr>
              <xdr:cNvCxnSpPr/>
            </xdr:nvCxnSpPr>
            <xdr:spPr>
              <a:xfrm>
                <a:off x="8853552" y="503744"/>
                <a:ext cx="0" cy="873672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" name="Straight Connector 35">
                <a:extLst>
                  <a:ext uri="{FF2B5EF4-FFF2-40B4-BE49-F238E27FC236}">
                    <a16:creationId xmlns:a16="http://schemas.microsoft.com/office/drawing/2014/main" id="{4D044B55-C8F0-44EF-99F7-3C17A8F3E1AE}"/>
                  </a:ext>
                </a:extLst>
              </xdr:cNvPr>
              <xdr:cNvCxnSpPr/>
            </xdr:nvCxnSpPr>
            <xdr:spPr>
              <a:xfrm>
                <a:off x="5317854" y="513365"/>
                <a:ext cx="4150278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" name="TextBox 36">
                <a:extLst>
                  <a:ext uri="{FF2B5EF4-FFF2-40B4-BE49-F238E27FC236}">
                    <a16:creationId xmlns:a16="http://schemas.microsoft.com/office/drawing/2014/main" id="{E60084E4-660A-41EF-96E0-ACAB969A8F18}"/>
                  </a:ext>
                </a:extLst>
              </xdr:cNvPr>
              <xdr:cNvSpPr txBox="1"/>
            </xdr:nvSpPr>
            <xdr:spPr>
              <a:xfrm>
                <a:off x="8881507" y="821283"/>
                <a:ext cx="603299" cy="2011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d2' = 232</a:t>
                </a:r>
              </a:p>
            </xdr:txBody>
          </xdr:sp>
          <xdr:cxnSp macro="">
            <xdr:nvCxnSpPr>
              <xdr:cNvPr id="38" name="Straight Connector 37">
                <a:extLst>
                  <a:ext uri="{FF2B5EF4-FFF2-40B4-BE49-F238E27FC236}">
                    <a16:creationId xmlns:a16="http://schemas.microsoft.com/office/drawing/2014/main" id="{2D41F836-18D1-4F76-975E-B7F4AD30A0A9}"/>
                  </a:ext>
                </a:extLst>
              </xdr:cNvPr>
              <xdr:cNvCxnSpPr/>
            </xdr:nvCxnSpPr>
            <xdr:spPr>
              <a:xfrm>
                <a:off x="5324475" y="1604841"/>
                <a:ext cx="4133850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9" name="Straight Arrow Connector 38">
                <a:extLst>
                  <a:ext uri="{FF2B5EF4-FFF2-40B4-BE49-F238E27FC236}">
                    <a16:creationId xmlns:a16="http://schemas.microsoft.com/office/drawing/2014/main" id="{9B6AACC3-EA4A-41D6-9583-12FE9C24BDB5}"/>
                  </a:ext>
                </a:extLst>
              </xdr:cNvPr>
              <xdr:cNvCxnSpPr/>
            </xdr:nvCxnSpPr>
            <xdr:spPr>
              <a:xfrm>
                <a:off x="9420225" y="522234"/>
                <a:ext cx="0" cy="1078526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" name="TextBox 39">
                <a:extLst>
                  <a:ext uri="{FF2B5EF4-FFF2-40B4-BE49-F238E27FC236}">
                    <a16:creationId xmlns:a16="http://schemas.microsoft.com/office/drawing/2014/main" id="{592FF1F5-ED2C-4AF0-8EC9-B05260A70784}"/>
                  </a:ext>
                </a:extLst>
              </xdr:cNvPr>
              <xdr:cNvSpPr txBox="1"/>
            </xdr:nvSpPr>
            <xdr:spPr>
              <a:xfrm>
                <a:off x="9458325" y="985503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H = 300</a:t>
                </a:r>
              </a:p>
            </xdr:txBody>
          </xdr:sp>
          <xdr:sp macro="" textlink="">
            <xdr:nvSpPr>
              <xdr:cNvPr id="41" name="TextBox 40">
                <a:extLst>
                  <a:ext uri="{FF2B5EF4-FFF2-40B4-BE49-F238E27FC236}">
                    <a16:creationId xmlns:a16="http://schemas.microsoft.com/office/drawing/2014/main" id="{A50D7492-0023-4A36-946C-B90C066AEFB7}"/>
                  </a:ext>
                </a:extLst>
              </xdr:cNvPr>
              <xdr:cNvSpPr txBox="1"/>
            </xdr:nvSpPr>
            <xdr:spPr>
              <a:xfrm>
                <a:off x="4719546" y="510079"/>
                <a:ext cx="577915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4D22-200</a:t>
                </a:r>
                <a:endParaRPr lang="id-ID" sz="1100"/>
              </a:p>
            </xdr:txBody>
          </xdr:sp>
          <xdr:sp macro="" textlink="">
            <xdr:nvSpPr>
              <xdr:cNvPr id="47" name="TextBox 46">
                <a:extLst>
                  <a:ext uri="{FF2B5EF4-FFF2-40B4-BE49-F238E27FC236}">
                    <a16:creationId xmlns:a16="http://schemas.microsoft.com/office/drawing/2014/main" id="{91CEB00C-E714-40E0-ABFC-E1FC7D197591}"/>
                  </a:ext>
                </a:extLst>
              </xdr:cNvPr>
              <xdr:cNvSpPr txBox="1"/>
            </xdr:nvSpPr>
            <xdr:spPr>
              <a:xfrm>
                <a:off x="4719546" y="1148814"/>
                <a:ext cx="577915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As2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4D22-200</a:t>
                </a:r>
                <a:endParaRPr lang="id-ID" sz="1100"/>
              </a:p>
            </xdr:txBody>
          </xdr:sp>
        </xdr:grpSp>
        <xdr:cxnSp macro="">
          <xdr:nvCxnSpPr>
            <xdr:cNvPr id="28" name="Straight Arrow Connector 27">
              <a:extLst>
                <a:ext uri="{FF2B5EF4-FFF2-40B4-BE49-F238E27FC236}">
                  <a16:creationId xmlns:a16="http://schemas.microsoft.com/office/drawing/2014/main" id="{90536D86-3298-405B-A494-E05560D64B25}"/>
                </a:ext>
              </a:extLst>
            </xdr:cNvPr>
            <xdr:cNvCxnSpPr/>
          </xdr:nvCxnSpPr>
          <xdr:spPr>
            <a:xfrm>
              <a:off x="5311297" y="427505"/>
              <a:ext cx="2897982" cy="0"/>
            </a:xfrm>
            <a:prstGeom prst="straightConnector1">
              <a:avLst/>
            </a:prstGeom>
            <a:ln>
              <a:headEnd type="triangle"/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364495D5-3D64-4220-B15A-4DAD5C794370}"/>
              </a:ext>
            </a:extLst>
          </xdr:cNvPr>
          <xdr:cNvSpPr txBox="1"/>
        </xdr:nvSpPr>
        <xdr:spPr>
          <a:xfrm>
            <a:off x="7133569" y="5319334"/>
            <a:ext cx="1192402" cy="1423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ctr"/>
            <a:r>
              <a:rPr lang="id-ID" sz="1100">
                <a:solidFill>
                  <a:srgbClr val="FF0000"/>
                </a:solidFill>
              </a:rPr>
              <a:t>Momen Positif</a:t>
            </a:r>
          </a:p>
        </xdr:txBody>
      </xdr:sp>
    </xdr:grpSp>
    <xdr:clientData/>
  </xdr:twoCellAnchor>
  <xdr:twoCellAnchor>
    <xdr:from>
      <xdr:col>13</xdr:col>
      <xdr:colOff>336176</xdr:colOff>
      <xdr:row>15</xdr:row>
      <xdr:rowOff>24361</xdr:rowOff>
    </xdr:from>
    <xdr:to>
      <xdr:col>21</xdr:col>
      <xdr:colOff>32259</xdr:colOff>
      <xdr:row>24</xdr:row>
      <xdr:rowOff>131612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6E0DB340-AD53-4271-BEA8-8735A380DB81}"/>
            </a:ext>
          </a:extLst>
        </xdr:cNvPr>
        <xdr:cNvGrpSpPr/>
      </xdr:nvGrpSpPr>
      <xdr:grpSpPr>
        <a:xfrm>
          <a:off x="7794251" y="2881861"/>
          <a:ext cx="5172958" cy="1821751"/>
          <a:chOff x="5698396" y="3751072"/>
          <a:chExt cx="5217815" cy="1821751"/>
        </a:xfrm>
      </xdr:grpSpPr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6C6C0685-F712-4604-9287-A51D8E3E067F}"/>
              </a:ext>
            </a:extLst>
          </xdr:cNvPr>
          <xdr:cNvGrpSpPr/>
        </xdr:nvGrpSpPr>
        <xdr:grpSpPr>
          <a:xfrm>
            <a:off x="5698396" y="3751072"/>
            <a:ext cx="5217815" cy="1821751"/>
            <a:chOff x="4719546" y="159587"/>
            <a:chExt cx="5253129" cy="1821751"/>
          </a:xfrm>
        </xdr:grpSpPr>
        <xdr:grpSp>
          <xdr:nvGrpSpPr>
            <xdr:cNvPr id="51" name="Group 50">
              <a:extLst>
                <a:ext uri="{FF2B5EF4-FFF2-40B4-BE49-F238E27FC236}">
                  <a16:creationId xmlns:a16="http://schemas.microsoft.com/office/drawing/2014/main" id="{BC164F8C-2E74-4BB8-B6E0-3FB2F0680062}"/>
                </a:ext>
              </a:extLst>
            </xdr:cNvPr>
            <xdr:cNvGrpSpPr/>
          </xdr:nvGrpSpPr>
          <xdr:grpSpPr>
            <a:xfrm>
              <a:off x="4719546" y="159587"/>
              <a:ext cx="5253129" cy="1821751"/>
              <a:chOff x="4719546" y="159587"/>
              <a:chExt cx="5253129" cy="1821751"/>
            </a:xfrm>
          </xdr:grpSpPr>
          <xdr:pic>
            <xdr:nvPicPr>
              <xdr:cNvPr id="53" name="Picture 52">
                <a:extLst>
                  <a:ext uri="{FF2B5EF4-FFF2-40B4-BE49-F238E27FC236}">
                    <a16:creationId xmlns:a16="http://schemas.microsoft.com/office/drawing/2014/main" id="{FC1F60EA-FE42-4D2A-8CD1-2401613C4F9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/>
            </xdr:blipFill>
            <xdr:spPr>
              <a:xfrm>
                <a:off x="4737146" y="159587"/>
                <a:ext cx="4115330" cy="1821751"/>
              </a:xfrm>
              <a:prstGeom prst="rect">
                <a:avLst/>
              </a:prstGeom>
            </xdr:spPr>
          </xdr:pic>
          <xdr:sp macro="" textlink="">
            <xdr:nvSpPr>
              <xdr:cNvPr id="54" name="TextBox 53">
                <a:extLst>
                  <a:ext uri="{FF2B5EF4-FFF2-40B4-BE49-F238E27FC236}">
                    <a16:creationId xmlns:a16="http://schemas.microsoft.com/office/drawing/2014/main" id="{8D841302-032D-486F-B6E2-9289D2777AB6}"/>
                  </a:ext>
                </a:extLst>
              </xdr:cNvPr>
              <xdr:cNvSpPr txBox="1"/>
            </xdr:nvSpPr>
            <xdr:spPr>
              <a:xfrm>
                <a:off x="6477000" y="267261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ctr"/>
                <a:r>
                  <a:rPr lang="id-ID" sz="1100"/>
                  <a:t>b = 776</a:t>
                </a:r>
              </a:p>
            </xdr:txBody>
          </xdr:sp>
          <xdr:cxnSp macro="">
            <xdr:nvCxnSpPr>
              <xdr:cNvPr id="55" name="Straight Connector 54">
                <a:extLst>
                  <a:ext uri="{FF2B5EF4-FFF2-40B4-BE49-F238E27FC236}">
                    <a16:creationId xmlns:a16="http://schemas.microsoft.com/office/drawing/2014/main" id="{324314D7-7705-42A5-89D7-378508ED37DF}"/>
                  </a:ext>
                </a:extLst>
              </xdr:cNvPr>
              <xdr:cNvCxnSpPr/>
            </xdr:nvCxnSpPr>
            <xdr:spPr>
              <a:xfrm>
                <a:off x="5324475" y="739366"/>
                <a:ext cx="3002822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Straight Arrow Connector 55">
                <a:extLst>
                  <a:ext uri="{FF2B5EF4-FFF2-40B4-BE49-F238E27FC236}">
                    <a16:creationId xmlns:a16="http://schemas.microsoft.com/office/drawing/2014/main" id="{BBC5F427-0B8F-4E47-A9B1-B1E4B56D83CB}"/>
                  </a:ext>
                </a:extLst>
              </xdr:cNvPr>
              <xdr:cNvCxnSpPr/>
            </xdr:nvCxnSpPr>
            <xdr:spPr>
              <a:xfrm>
                <a:off x="8272528" y="736492"/>
                <a:ext cx="0" cy="866705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7" name="TextBox 56">
                <a:extLst>
                  <a:ext uri="{FF2B5EF4-FFF2-40B4-BE49-F238E27FC236}">
                    <a16:creationId xmlns:a16="http://schemas.microsoft.com/office/drawing/2014/main" id="{2B8408E2-FEA1-4441-A1F4-E6F4AE989D3D}"/>
                  </a:ext>
                </a:extLst>
              </xdr:cNvPr>
              <xdr:cNvSpPr txBox="1"/>
            </xdr:nvSpPr>
            <xdr:spPr>
              <a:xfrm>
                <a:off x="8299754" y="1108617"/>
                <a:ext cx="602944" cy="16304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d1' = 239</a:t>
                </a:r>
              </a:p>
            </xdr:txBody>
          </xdr:sp>
          <xdr:cxnSp macro="">
            <xdr:nvCxnSpPr>
              <xdr:cNvPr id="58" name="Straight Connector 57">
                <a:extLst>
                  <a:ext uri="{FF2B5EF4-FFF2-40B4-BE49-F238E27FC236}">
                    <a16:creationId xmlns:a16="http://schemas.microsoft.com/office/drawing/2014/main" id="{814729A7-FF32-4B21-B049-0EDAA5D2C42B}"/>
                  </a:ext>
                </a:extLst>
              </xdr:cNvPr>
              <xdr:cNvCxnSpPr/>
            </xdr:nvCxnSpPr>
            <xdr:spPr>
              <a:xfrm>
                <a:off x="5324475" y="1377840"/>
                <a:ext cx="3599464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Straight Arrow Connector 58">
                <a:extLst>
                  <a:ext uri="{FF2B5EF4-FFF2-40B4-BE49-F238E27FC236}">
                    <a16:creationId xmlns:a16="http://schemas.microsoft.com/office/drawing/2014/main" id="{04FEA056-9DD2-4780-AB27-98326F900806}"/>
                  </a:ext>
                </a:extLst>
              </xdr:cNvPr>
              <xdr:cNvCxnSpPr/>
            </xdr:nvCxnSpPr>
            <xdr:spPr>
              <a:xfrm>
                <a:off x="8853552" y="1376760"/>
                <a:ext cx="0" cy="229914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Straight Connector 59">
                <a:extLst>
                  <a:ext uri="{FF2B5EF4-FFF2-40B4-BE49-F238E27FC236}">
                    <a16:creationId xmlns:a16="http://schemas.microsoft.com/office/drawing/2014/main" id="{08496499-C9D7-4AA4-AB2B-5A17B7B674EB}"/>
                  </a:ext>
                </a:extLst>
              </xdr:cNvPr>
              <xdr:cNvCxnSpPr/>
            </xdr:nvCxnSpPr>
            <xdr:spPr>
              <a:xfrm>
                <a:off x="5317854" y="513365"/>
                <a:ext cx="4150278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C534D5CE-4283-481F-8C21-C516313735B8}"/>
                  </a:ext>
                </a:extLst>
              </xdr:cNvPr>
              <xdr:cNvSpPr txBox="1"/>
            </xdr:nvSpPr>
            <xdr:spPr>
              <a:xfrm>
                <a:off x="8914851" y="1386214"/>
                <a:ext cx="603299" cy="2011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d2' = 61</a:t>
                </a:r>
              </a:p>
            </xdr:txBody>
          </xdr:sp>
          <xdr:cxnSp macro="">
            <xdr:nvCxnSpPr>
              <xdr:cNvPr id="62" name="Straight Connector 61">
                <a:extLst>
                  <a:ext uri="{FF2B5EF4-FFF2-40B4-BE49-F238E27FC236}">
                    <a16:creationId xmlns:a16="http://schemas.microsoft.com/office/drawing/2014/main" id="{98CAA970-7A2D-480E-9D90-AE4B857A9379}"/>
                  </a:ext>
                </a:extLst>
              </xdr:cNvPr>
              <xdr:cNvCxnSpPr/>
            </xdr:nvCxnSpPr>
            <xdr:spPr>
              <a:xfrm>
                <a:off x="5324475" y="1604841"/>
                <a:ext cx="4133850" cy="0"/>
              </a:xfrm>
              <a:prstGeom prst="line">
                <a:avLst/>
              </a:prstGeom>
              <a:ln>
                <a:prstDash val="lg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3" name="Straight Arrow Connector 62">
                <a:extLst>
                  <a:ext uri="{FF2B5EF4-FFF2-40B4-BE49-F238E27FC236}">
                    <a16:creationId xmlns:a16="http://schemas.microsoft.com/office/drawing/2014/main" id="{EAD09FBE-6115-4038-B26A-B47175A2D0F7}"/>
                  </a:ext>
                </a:extLst>
              </xdr:cNvPr>
              <xdr:cNvCxnSpPr/>
            </xdr:nvCxnSpPr>
            <xdr:spPr>
              <a:xfrm>
                <a:off x="9420225" y="522234"/>
                <a:ext cx="0" cy="1078526"/>
              </a:xfrm>
              <a:prstGeom prst="straightConnector1">
                <a:avLst/>
              </a:prstGeom>
              <a:ln>
                <a:headEnd type="triangle"/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4" name="TextBox 63">
                <a:extLst>
                  <a:ext uri="{FF2B5EF4-FFF2-40B4-BE49-F238E27FC236}">
                    <a16:creationId xmlns:a16="http://schemas.microsoft.com/office/drawing/2014/main" id="{411ACD39-A3C1-4A14-9A44-19965BB85AD0}"/>
                  </a:ext>
                </a:extLst>
              </xdr:cNvPr>
              <xdr:cNvSpPr txBox="1"/>
            </xdr:nvSpPr>
            <xdr:spPr>
              <a:xfrm>
                <a:off x="9458325" y="985503"/>
                <a:ext cx="514350" cy="1714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l"/>
                <a:r>
                  <a:rPr lang="id-ID" sz="1100"/>
                  <a:t>H = 300</a:t>
                </a:r>
              </a:p>
            </xdr:txBody>
          </xdr:sp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92D52EDA-E73C-49D6-8AD5-C2A9A19EC91A}"/>
                  </a:ext>
                </a:extLst>
              </xdr:cNvPr>
              <xdr:cNvSpPr txBox="1"/>
            </xdr:nvSpPr>
            <xdr:spPr>
              <a:xfrm>
                <a:off x="4719546" y="510079"/>
                <a:ext cx="577915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As1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4D22-200</a:t>
                </a:r>
                <a:endParaRPr lang="id-ID" sz="1100"/>
              </a:p>
            </xdr:txBody>
          </xdr:sp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0262B873-8B7B-4421-A39B-413FB41921EA}"/>
                  </a:ext>
                </a:extLst>
              </xdr:cNvPr>
              <xdr:cNvSpPr txBox="1"/>
            </xdr:nvSpPr>
            <xdr:spPr>
              <a:xfrm>
                <a:off x="4719546" y="1148814"/>
                <a:ext cx="577915" cy="38658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ctr" anchorCtr="0"/>
              <a:lstStyle/>
              <a:p>
                <a:pPr algn="r"/>
                <a:r>
                  <a:rPr lang="id-ID" sz="1100"/>
                  <a:t>As2</a:t>
                </a:r>
                <a:endParaRPr lang="id-ID" sz="1100" baseline="0"/>
              </a:p>
              <a:p>
                <a:pPr algn="r"/>
                <a:r>
                  <a:rPr lang="id-ID" sz="1100" baseline="0"/>
                  <a:t>4D22-200</a:t>
                </a:r>
                <a:endParaRPr lang="id-ID" sz="1100"/>
              </a:p>
            </xdr:txBody>
          </xdr:sp>
        </xdr:grpSp>
        <xdr:cxnSp macro="">
          <xdr:nvCxnSpPr>
            <xdr:cNvPr id="52" name="Straight Arrow Connector 51">
              <a:extLst>
                <a:ext uri="{FF2B5EF4-FFF2-40B4-BE49-F238E27FC236}">
                  <a16:creationId xmlns:a16="http://schemas.microsoft.com/office/drawing/2014/main" id="{7C714D64-2F4A-4BB0-A4D1-173BF65B2303}"/>
                </a:ext>
              </a:extLst>
            </xdr:cNvPr>
            <xdr:cNvCxnSpPr/>
          </xdr:nvCxnSpPr>
          <xdr:spPr>
            <a:xfrm>
              <a:off x="5311297" y="427505"/>
              <a:ext cx="2897982" cy="0"/>
            </a:xfrm>
            <a:prstGeom prst="straightConnector1">
              <a:avLst/>
            </a:prstGeom>
            <a:ln>
              <a:headEnd type="triangle"/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BE3CE0E0-9775-4194-B8EF-2A83DB35916D}"/>
              </a:ext>
            </a:extLst>
          </xdr:cNvPr>
          <xdr:cNvSpPr txBox="1"/>
        </xdr:nvSpPr>
        <xdr:spPr>
          <a:xfrm>
            <a:off x="7133569" y="5319334"/>
            <a:ext cx="1192402" cy="1423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 anchorCtr="0"/>
          <a:lstStyle/>
          <a:p>
            <a:pPr algn="ctr"/>
            <a:r>
              <a:rPr lang="id-ID" sz="1100">
                <a:solidFill>
                  <a:srgbClr val="FF0000"/>
                </a:solidFill>
              </a:rPr>
              <a:t>Momen Negatif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19053</xdr:colOff>
      <xdr:row>0</xdr:row>
      <xdr:rowOff>76200</xdr:rowOff>
    </xdr:from>
    <xdr:to>
      <xdr:col>9</xdr:col>
      <xdr:colOff>381000</xdr:colOff>
      <xdr:row>24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FFC99D-2DF7-42BB-A3DB-023D30A95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457203</xdr:colOff>
      <xdr:row>0</xdr:row>
      <xdr:rowOff>76200</xdr:rowOff>
    </xdr:from>
    <xdr:to>
      <xdr:col>19</xdr:col>
      <xdr:colOff>209550</xdr:colOff>
      <xdr:row>24</xdr:row>
      <xdr:rowOff>9525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A19DFA9-2AAF-4283-8813-A1D72607B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19783</xdr:colOff>
      <xdr:row>0</xdr:row>
      <xdr:rowOff>0</xdr:rowOff>
    </xdr:from>
    <xdr:to>
      <xdr:col>9</xdr:col>
      <xdr:colOff>518273</xdr:colOff>
      <xdr:row>9</xdr:row>
      <xdr:rowOff>118028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0FD16F7-3D78-43F3-9644-A2416555C2D9}"/>
            </a:ext>
          </a:extLst>
        </xdr:cNvPr>
        <xdr:cNvGrpSpPr/>
      </xdr:nvGrpSpPr>
      <xdr:grpSpPr>
        <a:xfrm>
          <a:off x="3239233" y="0"/>
          <a:ext cx="3136915" cy="1832528"/>
          <a:chOff x="4220307" y="133350"/>
          <a:chExt cx="4403215" cy="264795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32AB70D-F7A1-47B3-8343-ED8C72481F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238625" y="133350"/>
            <a:ext cx="4381500" cy="1917719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3E80493-DEE8-497A-B2E6-338B61CC91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220307" y="2058351"/>
            <a:ext cx="4403215" cy="722949"/>
          </a:xfrm>
          <a:prstGeom prst="rect">
            <a:avLst/>
          </a:prstGeom>
        </xdr:spPr>
      </xdr:pic>
    </xdr:grpSp>
    <xdr:clientData/>
  </xdr:twoCellAnchor>
  <xdr:twoCellAnchor editAs="oneCell">
    <xdr:from>
      <xdr:col>17</xdr:col>
      <xdr:colOff>38100</xdr:colOff>
      <xdr:row>0</xdr:row>
      <xdr:rowOff>0</xdr:rowOff>
    </xdr:from>
    <xdr:to>
      <xdr:col>22</xdr:col>
      <xdr:colOff>296611</xdr:colOff>
      <xdr:row>10</xdr:row>
      <xdr:rowOff>143408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C2DA74-8D0D-4D8E-8868-F6E5F1136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0"/>
          <a:ext cx="3463393" cy="20484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19783</xdr:colOff>
      <xdr:row>0</xdr:row>
      <xdr:rowOff>0</xdr:rowOff>
    </xdr:from>
    <xdr:to>
      <xdr:col>9</xdr:col>
      <xdr:colOff>518273</xdr:colOff>
      <xdr:row>9</xdr:row>
      <xdr:rowOff>118028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F96270E-5826-436E-9873-FA49678BFCF0}"/>
            </a:ext>
          </a:extLst>
        </xdr:cNvPr>
        <xdr:cNvGrpSpPr/>
      </xdr:nvGrpSpPr>
      <xdr:grpSpPr>
        <a:xfrm>
          <a:off x="3415165" y="0"/>
          <a:ext cx="3120667" cy="1832528"/>
          <a:chOff x="4220307" y="133350"/>
          <a:chExt cx="4403215" cy="264795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7E0DF58-8BDD-4B76-B842-384AB11F9E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238625" y="133350"/>
            <a:ext cx="4381500" cy="1917719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37591569-F9E9-4A10-ADCC-253A8DE514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220307" y="2058351"/>
            <a:ext cx="4403215" cy="722949"/>
          </a:xfrm>
          <a:prstGeom prst="rect">
            <a:avLst/>
          </a:prstGeom>
        </xdr:spPr>
      </xdr:pic>
    </xdr:grpSp>
    <xdr:clientData/>
  </xdr:twoCellAnchor>
  <xdr:twoCellAnchor editAs="oneCell">
    <xdr:from>
      <xdr:col>25</xdr:col>
      <xdr:colOff>561975</xdr:colOff>
      <xdr:row>0</xdr:row>
      <xdr:rowOff>0</xdr:rowOff>
    </xdr:from>
    <xdr:to>
      <xdr:col>30</xdr:col>
      <xdr:colOff>591886</xdr:colOff>
      <xdr:row>10</xdr:row>
      <xdr:rowOff>143408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60C8A3-2E30-4897-BC1E-914FC26BD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06900" y="0"/>
          <a:ext cx="3458911" cy="2048408"/>
        </a:xfrm>
        <a:prstGeom prst="rect">
          <a:avLst/>
        </a:prstGeom>
      </xdr:spPr>
    </xdr:pic>
    <xdr:clientData/>
  </xdr:twoCellAnchor>
  <xdr:twoCellAnchor>
    <xdr:from>
      <xdr:col>5</xdr:col>
      <xdr:colOff>771525</xdr:colOff>
      <xdr:row>19</xdr:row>
      <xdr:rowOff>138951</xdr:rowOff>
    </xdr:from>
    <xdr:to>
      <xdr:col>11</xdr:col>
      <xdr:colOff>596153</xdr:colOff>
      <xdr:row>34</xdr:row>
      <xdr:rowOff>24651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A8729F8-BA4D-4BDA-B5A0-6E8D5585C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228600</xdr:colOff>
      <xdr:row>42</xdr:row>
      <xdr:rowOff>81801</xdr:rowOff>
    </xdr:from>
    <xdr:to>
      <xdr:col>5</xdr:col>
      <xdr:colOff>500903</xdr:colOff>
      <xdr:row>56</xdr:row>
      <xdr:rowOff>158001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B0357EC-D51C-4C0C-8E25-E8D228173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699247</xdr:colOff>
      <xdr:row>42</xdr:row>
      <xdr:rowOff>81801</xdr:rowOff>
    </xdr:from>
    <xdr:to>
      <xdr:col>11</xdr:col>
      <xdr:colOff>523875</xdr:colOff>
      <xdr:row>56</xdr:row>
      <xdr:rowOff>158001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4ABBB513-1D81-4353-815B-ACB31F337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228600</xdr:colOff>
      <xdr:row>19</xdr:row>
      <xdr:rowOff>138951</xdr:rowOff>
    </xdr:from>
    <xdr:to>
      <xdr:col>5</xdr:col>
      <xdr:colOff>500903</xdr:colOff>
      <xdr:row>34</xdr:row>
      <xdr:rowOff>24651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2547E212-E349-448D-BF69-D4EA55338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28575</xdr:colOff>
      <xdr:row>42</xdr:row>
      <xdr:rowOff>81801</xdr:rowOff>
    </xdr:from>
    <xdr:to>
      <xdr:col>21</xdr:col>
      <xdr:colOff>224678</xdr:colOff>
      <xdr:row>56</xdr:row>
      <xdr:rowOff>158001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AFF00D94-D635-48F8-BF95-980567B49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295275</xdr:colOff>
      <xdr:row>42</xdr:row>
      <xdr:rowOff>81801</xdr:rowOff>
    </xdr:from>
    <xdr:to>
      <xdr:col>26</xdr:col>
      <xdr:colOff>434228</xdr:colOff>
      <xdr:row>56</xdr:row>
      <xdr:rowOff>158001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BF4A2B5F-F156-4A51-B595-52F19226D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28575</xdr:colOff>
      <xdr:row>20</xdr:row>
      <xdr:rowOff>53226</xdr:rowOff>
    </xdr:from>
    <xdr:to>
      <xdr:col>21</xdr:col>
      <xdr:colOff>224678</xdr:colOff>
      <xdr:row>34</xdr:row>
      <xdr:rowOff>129426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72EAFDFD-B820-4C3E-ACB5-9768DB2D1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409575</xdr:colOff>
      <xdr:row>20</xdr:row>
      <xdr:rowOff>53226</xdr:rowOff>
    </xdr:from>
    <xdr:to>
      <xdr:col>26</xdr:col>
      <xdr:colOff>548528</xdr:colOff>
      <xdr:row>34</xdr:row>
      <xdr:rowOff>129426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8D7CE2E-99B5-44DE-B5F3-B7CA75A0C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114300</xdr:colOff>
      <xdr:row>20</xdr:row>
      <xdr:rowOff>53226</xdr:rowOff>
    </xdr:from>
    <xdr:to>
      <xdr:col>32</xdr:col>
      <xdr:colOff>558053</xdr:colOff>
      <xdr:row>34</xdr:row>
      <xdr:rowOff>129426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D79A367A-FAA5-4318-B475-EFDB9123C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33</xdr:col>
      <xdr:colOff>133350</xdr:colOff>
      <xdr:row>20</xdr:row>
      <xdr:rowOff>53226</xdr:rowOff>
    </xdr:from>
    <xdr:to>
      <xdr:col>39</xdr:col>
      <xdr:colOff>158003</xdr:colOff>
      <xdr:row>34</xdr:row>
      <xdr:rowOff>129426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B8FB0123-2763-4BB1-8BE9-561D4F8AF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deling/PEMBEBANAN%20SNI%20RANGKA%20B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hitungan Beban"/>
      <sheetName val="Kombinasi Beban"/>
      <sheetName val="Sheet2"/>
    </sheetNames>
    <sheetDataSet>
      <sheetData sheetId="0"/>
      <sheetData sheetId="1"/>
      <sheetData sheetId="2">
        <row r="3">
          <cell r="B3" t="str">
            <v>Lahan Terbuka</v>
          </cell>
          <cell r="C3" t="str">
            <v>Sub Urban</v>
          </cell>
          <cell r="D3" t="str">
            <v>Kota</v>
          </cell>
        </row>
        <row r="4">
          <cell r="B4">
            <v>13.2</v>
          </cell>
          <cell r="C4">
            <v>17.600000000000001</v>
          </cell>
          <cell r="D4">
            <v>19.3</v>
          </cell>
        </row>
        <row r="5">
          <cell r="B5">
            <v>70</v>
          </cell>
          <cell r="C5">
            <v>1000</v>
          </cell>
          <cell r="D5">
            <v>2500</v>
          </cell>
        </row>
        <row r="9">
          <cell r="A9" t="str">
            <v>Rangka, kolom, dan pelengkung</v>
          </cell>
          <cell r="B9">
            <v>2.3999999999999998E-3</v>
          </cell>
          <cell r="C9">
            <v>1.1999999999999999E-3</v>
          </cell>
        </row>
        <row r="10">
          <cell r="A10" t="str">
            <v>Balok</v>
          </cell>
          <cell r="B10">
            <v>2.3999999999999998E-3</v>
          </cell>
          <cell r="C10" t="str">
            <v>N/A</v>
          </cell>
        </row>
        <row r="11">
          <cell r="A11" t="str">
            <v>Permukaan datar</v>
          </cell>
          <cell r="B11">
            <v>1.9E-3</v>
          </cell>
          <cell r="C11" t="str">
            <v>N/A</v>
          </cell>
        </row>
        <row r="15">
          <cell r="B15" t="str">
            <v>Komponen Tegak Lurus</v>
          </cell>
        </row>
        <row r="16">
          <cell r="A16">
            <v>0</v>
          </cell>
          <cell r="B16">
            <v>1.46</v>
          </cell>
          <cell r="C16">
            <v>0</v>
          </cell>
        </row>
        <row r="17">
          <cell r="A17">
            <v>15</v>
          </cell>
          <cell r="B17">
            <v>1.28</v>
          </cell>
          <cell r="C17">
            <v>0.18</v>
          </cell>
        </row>
        <row r="18">
          <cell r="A18">
            <v>30</v>
          </cell>
          <cell r="B18">
            <v>1.2</v>
          </cell>
          <cell r="C18">
            <v>0.35</v>
          </cell>
        </row>
        <row r="19">
          <cell r="A19">
            <v>45</v>
          </cell>
          <cell r="B19">
            <v>0.96</v>
          </cell>
          <cell r="C19">
            <v>0.47</v>
          </cell>
        </row>
        <row r="20">
          <cell r="A20">
            <v>60</v>
          </cell>
          <cell r="B20">
            <v>0.5</v>
          </cell>
          <cell r="C20">
            <v>0.55000000000000004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1797-BEE8-4D20-A0EC-92C4AC7B33B1}">
  <sheetPr codeName="Sheet1"/>
  <dimension ref="C1:S104"/>
  <sheetViews>
    <sheetView showGridLines="0" view="pageBreakPreview" topLeftCell="A80" zoomScaleNormal="85" zoomScaleSheetLayoutView="100" workbookViewId="0">
      <selection activeCell="J100" sqref="J100"/>
    </sheetView>
  </sheetViews>
  <sheetFormatPr defaultColWidth="8.85546875" defaultRowHeight="15" x14ac:dyDescent="0.25"/>
  <cols>
    <col min="1" max="1" width="8.85546875" style="10"/>
    <col min="2" max="2" width="3.42578125" style="10" customWidth="1"/>
    <col min="3" max="3" width="3.85546875" style="10" customWidth="1"/>
    <col min="4" max="6" width="18.42578125" style="10" customWidth="1"/>
    <col min="7" max="7" width="2" style="10" bestFit="1" customWidth="1"/>
    <col min="8" max="8" width="10.28515625" style="10" customWidth="1"/>
    <col min="9" max="9" width="17.28515625" style="10" bestFit="1" customWidth="1"/>
    <col min="10" max="10" width="20" style="10" bestFit="1" customWidth="1"/>
    <col min="11" max="11" width="12" style="10" bestFit="1" customWidth="1"/>
    <col min="12" max="12" width="8.85546875" style="10"/>
    <col min="13" max="13" width="36" style="10" bestFit="1" customWidth="1"/>
    <col min="14" max="16384" width="8.85546875" style="10"/>
  </cols>
  <sheetData>
    <row r="1" spans="3:10" ht="18.75" x14ac:dyDescent="0.3">
      <c r="D1" s="147" t="s">
        <v>48</v>
      </c>
      <c r="E1" s="147"/>
      <c r="F1" s="147"/>
      <c r="G1" s="147"/>
      <c r="H1" s="147"/>
      <c r="I1" s="147"/>
      <c r="J1" s="147"/>
    </row>
    <row r="2" spans="3:10" ht="15.75" x14ac:dyDescent="0.25">
      <c r="D2" s="148" t="s">
        <v>49</v>
      </c>
      <c r="E2" s="148"/>
      <c r="F2" s="148"/>
      <c r="G2" s="148"/>
      <c r="H2" s="148"/>
      <c r="I2" s="148"/>
      <c r="J2" s="148"/>
    </row>
    <row r="3" spans="3:10" x14ac:dyDescent="0.25">
      <c r="J3" s="18" t="s">
        <v>125</v>
      </c>
    </row>
    <row r="4" spans="3:10" x14ac:dyDescent="0.25">
      <c r="D4" s="146" t="s">
        <v>50</v>
      </c>
      <c r="E4" s="146"/>
      <c r="F4" s="146"/>
      <c r="G4" s="146"/>
      <c r="H4" s="146"/>
      <c r="I4" s="146"/>
      <c r="J4" s="19" t="s">
        <v>51</v>
      </c>
    </row>
    <row r="5" spans="3:10" x14ac:dyDescent="0.25">
      <c r="C5" s="10">
        <v>1</v>
      </c>
      <c r="D5" s="10" t="s">
        <v>126</v>
      </c>
      <c r="G5" s="10" t="s">
        <v>52</v>
      </c>
      <c r="H5" s="20">
        <v>25</v>
      </c>
      <c r="I5" s="10" t="s">
        <v>3</v>
      </c>
    </row>
    <row r="6" spans="3:10" x14ac:dyDescent="0.25">
      <c r="C6" s="10">
        <v>2</v>
      </c>
      <c r="D6" s="10" t="s">
        <v>127</v>
      </c>
      <c r="G6" s="10" t="s">
        <v>52</v>
      </c>
      <c r="H6" s="20">
        <v>12</v>
      </c>
      <c r="I6" s="10" t="s">
        <v>3</v>
      </c>
    </row>
    <row r="7" spans="3:10" x14ac:dyDescent="0.25">
      <c r="C7" s="10">
        <v>3</v>
      </c>
      <c r="D7" s="10" t="s">
        <v>128</v>
      </c>
      <c r="G7" s="10" t="s">
        <v>52</v>
      </c>
      <c r="H7" s="20">
        <f>H5+2*H6+3.3</f>
        <v>52.3</v>
      </c>
      <c r="I7" s="10" t="s">
        <v>3</v>
      </c>
    </row>
    <row r="8" spans="3:10" x14ac:dyDescent="0.25">
      <c r="C8" s="10">
        <v>4</v>
      </c>
      <c r="D8" s="10" t="s">
        <v>53</v>
      </c>
      <c r="G8" s="10" t="s">
        <v>52</v>
      </c>
      <c r="H8" s="20">
        <v>7</v>
      </c>
      <c r="I8" s="10" t="s">
        <v>3</v>
      </c>
    </row>
    <row r="9" spans="3:10" x14ac:dyDescent="0.25">
      <c r="C9" s="10">
        <v>5</v>
      </c>
      <c r="D9" s="10" t="s">
        <v>54</v>
      </c>
      <c r="G9" s="10" t="s">
        <v>52</v>
      </c>
      <c r="H9" s="20">
        <v>2</v>
      </c>
      <c r="I9" s="10" t="s">
        <v>55</v>
      </c>
    </row>
    <row r="10" spans="3:10" x14ac:dyDescent="0.25">
      <c r="C10" s="10">
        <v>6</v>
      </c>
      <c r="D10" s="10" t="s">
        <v>56</v>
      </c>
      <c r="G10" s="10" t="s">
        <v>52</v>
      </c>
      <c r="H10" s="10">
        <f>H8/H9</f>
        <v>3.5</v>
      </c>
      <c r="I10" s="10" t="s">
        <v>3</v>
      </c>
    </row>
    <row r="12" spans="3:10" x14ac:dyDescent="0.25">
      <c r="C12" s="146" t="s">
        <v>57</v>
      </c>
      <c r="D12" s="146"/>
      <c r="E12" s="146"/>
      <c r="F12" s="146"/>
      <c r="G12" s="146"/>
      <c r="H12" s="146"/>
      <c r="I12" s="146"/>
    </row>
    <row r="13" spans="3:10" x14ac:dyDescent="0.25">
      <c r="C13" s="22">
        <v>1</v>
      </c>
      <c r="D13" s="22" t="s">
        <v>58</v>
      </c>
      <c r="E13" s="22"/>
      <c r="F13" s="22"/>
      <c r="G13" s="22"/>
      <c r="H13" s="22"/>
      <c r="I13" s="22"/>
    </row>
    <row r="14" spans="3:10" x14ac:dyDescent="0.25">
      <c r="C14" s="23" t="s">
        <v>59</v>
      </c>
      <c r="D14" s="16" t="s">
        <v>129</v>
      </c>
      <c r="E14" s="16"/>
      <c r="F14" s="16"/>
    </row>
    <row r="15" spans="3:10" x14ac:dyDescent="0.25">
      <c r="D15" s="10" t="s">
        <v>60</v>
      </c>
      <c r="H15" s="149" t="s">
        <v>61</v>
      </c>
      <c r="I15" s="149"/>
      <c r="J15" s="149"/>
    </row>
    <row r="16" spans="3:10" x14ac:dyDescent="0.25">
      <c r="D16" s="10" t="s">
        <v>62</v>
      </c>
      <c r="G16" s="10" t="s">
        <v>52</v>
      </c>
      <c r="H16" s="10">
        <v>1</v>
      </c>
    </row>
    <row r="18" spans="3:19" x14ac:dyDescent="0.25">
      <c r="C18" s="23" t="s">
        <v>79</v>
      </c>
      <c r="D18" s="146" t="s">
        <v>130</v>
      </c>
      <c r="E18" s="146"/>
      <c r="F18" s="146"/>
      <c r="G18" s="146"/>
      <c r="H18" s="146"/>
      <c r="I18" s="146"/>
    </row>
    <row r="19" spans="3:19" x14ac:dyDescent="0.25">
      <c r="D19" s="10" t="s">
        <v>82</v>
      </c>
      <c r="F19" s="16"/>
      <c r="G19" s="10" t="s">
        <v>52</v>
      </c>
      <c r="H19" s="10">
        <v>24</v>
      </c>
      <c r="I19" s="10" t="s">
        <v>83</v>
      </c>
    </row>
    <row r="20" spans="3:19" x14ac:dyDescent="0.25">
      <c r="D20" s="10" t="s">
        <v>131</v>
      </c>
      <c r="E20" s="16"/>
      <c r="G20" s="10" t="s">
        <v>52</v>
      </c>
      <c r="H20" s="10">
        <f>358750/1000000</f>
        <v>0.35875000000000001</v>
      </c>
      <c r="I20" s="10" t="s">
        <v>132</v>
      </c>
    </row>
    <row r="21" spans="3:19" x14ac:dyDescent="0.25">
      <c r="D21" s="10" t="s">
        <v>133</v>
      </c>
      <c r="E21" s="16"/>
      <c r="G21" s="10" t="s">
        <v>52</v>
      </c>
      <c r="H21" s="10">
        <v>0.77600000000000002</v>
      </c>
      <c r="I21" s="10" t="s">
        <v>3</v>
      </c>
    </row>
    <row r="22" spans="3:19" x14ac:dyDescent="0.25">
      <c r="D22" s="26" t="s">
        <v>134</v>
      </c>
      <c r="E22" s="26"/>
      <c r="F22" s="41"/>
      <c r="G22" s="26" t="s">
        <v>52</v>
      </c>
      <c r="H22" s="26">
        <f>H19*H20/H21</f>
        <v>11.095360824742267</v>
      </c>
      <c r="I22" s="26" t="s">
        <v>135</v>
      </c>
    </row>
    <row r="23" spans="3:19" x14ac:dyDescent="0.25">
      <c r="F23" s="24" t="s">
        <v>125</v>
      </c>
      <c r="G23" s="10" t="s">
        <v>52</v>
      </c>
      <c r="H23" s="17">
        <f>H22</f>
        <v>11.095360824742267</v>
      </c>
      <c r="I23" s="17" t="s">
        <v>135</v>
      </c>
    </row>
    <row r="25" spans="3:19" x14ac:dyDescent="0.25">
      <c r="C25" s="16">
        <v>2</v>
      </c>
      <c r="D25" s="16" t="s">
        <v>84</v>
      </c>
      <c r="E25" s="16"/>
      <c r="F25" s="16"/>
    </row>
    <row r="26" spans="3:19" ht="15" customHeight="1" x14ac:dyDescent="0.3">
      <c r="D26" s="16" t="s">
        <v>85</v>
      </c>
      <c r="F26" s="21"/>
      <c r="G26" s="21"/>
      <c r="H26" s="21"/>
      <c r="I26" s="21"/>
      <c r="M26" s="4" t="s">
        <v>64</v>
      </c>
      <c r="N26" s="5" t="s">
        <v>65</v>
      </c>
      <c r="O26" s="6">
        <v>24</v>
      </c>
      <c r="P26" s="7" t="s">
        <v>66</v>
      </c>
      <c r="R26" s="8" t="s">
        <v>67</v>
      </c>
      <c r="S26" s="8"/>
    </row>
    <row r="27" spans="3:19" ht="15" customHeight="1" x14ac:dyDescent="0.3">
      <c r="D27" s="10" t="s">
        <v>86</v>
      </c>
      <c r="G27" s="10" t="s">
        <v>52</v>
      </c>
      <c r="H27" s="10">
        <v>0.05</v>
      </c>
      <c r="I27" s="10" t="s">
        <v>3</v>
      </c>
      <c r="K27" s="17"/>
      <c r="L27" s="17"/>
      <c r="M27" s="4" t="s">
        <v>69</v>
      </c>
      <c r="N27" s="5" t="s">
        <v>70</v>
      </c>
      <c r="O27" s="6">
        <v>77</v>
      </c>
      <c r="P27" s="7" t="s">
        <v>71</v>
      </c>
      <c r="R27" s="9" t="s">
        <v>72</v>
      </c>
      <c r="S27" s="9" t="s">
        <v>73</v>
      </c>
    </row>
    <row r="28" spans="3:19" ht="15" customHeight="1" x14ac:dyDescent="0.3">
      <c r="D28" s="10" t="s">
        <v>136</v>
      </c>
      <c r="G28" s="10" t="s">
        <v>52</v>
      </c>
      <c r="H28" s="10">
        <f>O30*H27</f>
        <v>0.49000000000000005</v>
      </c>
      <c r="I28" s="10" t="s">
        <v>135</v>
      </c>
      <c r="M28" s="4" t="s">
        <v>74</v>
      </c>
      <c r="N28" s="5" t="s">
        <v>75</v>
      </c>
      <c r="O28" s="6">
        <v>24</v>
      </c>
      <c r="P28" s="7" t="s">
        <v>66</v>
      </c>
      <c r="R28" s="9" t="s">
        <v>63</v>
      </c>
      <c r="S28" s="9" t="s">
        <v>76</v>
      </c>
    </row>
    <row r="29" spans="3:19" ht="15" customHeight="1" x14ac:dyDescent="0.3">
      <c r="D29" s="16" t="s">
        <v>87</v>
      </c>
      <c r="E29" s="26"/>
      <c r="F29" s="24"/>
      <c r="G29" s="21"/>
      <c r="H29" s="17"/>
      <c r="I29" s="17"/>
      <c r="M29" s="4" t="s">
        <v>77</v>
      </c>
      <c r="N29" s="5" t="s">
        <v>78</v>
      </c>
      <c r="O29" s="6">
        <v>22</v>
      </c>
      <c r="P29" s="7" t="s">
        <v>71</v>
      </c>
      <c r="R29" s="9">
        <v>0.7</v>
      </c>
      <c r="S29" s="9">
        <v>6.52</v>
      </c>
    </row>
    <row r="30" spans="3:19" ht="15" customHeight="1" x14ac:dyDescent="0.3">
      <c r="D30" s="10" t="s">
        <v>88</v>
      </c>
      <c r="E30" s="26"/>
      <c r="F30" s="24"/>
      <c r="G30" s="10" t="s">
        <v>52</v>
      </c>
      <c r="H30" s="10">
        <v>0.09</v>
      </c>
      <c r="I30" s="10" t="s">
        <v>3</v>
      </c>
      <c r="M30" s="4" t="s">
        <v>80</v>
      </c>
      <c r="N30" s="5" t="s">
        <v>81</v>
      </c>
      <c r="O30" s="6">
        <v>9.8000000000000007</v>
      </c>
      <c r="P30" s="7" t="s">
        <v>71</v>
      </c>
      <c r="R30" s="9">
        <v>0.75</v>
      </c>
      <c r="S30" s="9">
        <v>6.95</v>
      </c>
    </row>
    <row r="31" spans="3:19" x14ac:dyDescent="0.25">
      <c r="D31" s="10" t="s">
        <v>87</v>
      </c>
      <c r="E31" s="26"/>
      <c r="G31" s="10" t="s">
        <v>52</v>
      </c>
      <c r="H31" s="10">
        <f>O29*H30</f>
        <v>1.98</v>
      </c>
      <c r="I31" s="10" t="s">
        <v>135</v>
      </c>
      <c r="R31" s="9">
        <v>0.8</v>
      </c>
      <c r="S31" s="9">
        <v>7.4</v>
      </c>
    </row>
    <row r="32" spans="3:19" x14ac:dyDescent="0.25">
      <c r="E32" s="26"/>
      <c r="F32" s="24" t="s">
        <v>125</v>
      </c>
      <c r="G32" s="21" t="s">
        <v>52</v>
      </c>
      <c r="H32" s="17">
        <f>H28+H31</f>
        <v>2.4700000000000002</v>
      </c>
      <c r="I32" s="17" t="s">
        <v>135</v>
      </c>
      <c r="R32" s="9">
        <v>1</v>
      </c>
      <c r="S32" s="9">
        <v>9.5</v>
      </c>
    </row>
    <row r="33" spans="3:19" x14ac:dyDescent="0.25">
      <c r="E33" s="26"/>
      <c r="F33" s="27"/>
      <c r="G33" s="26"/>
      <c r="H33" s="25"/>
      <c r="I33" s="25"/>
      <c r="R33" s="9"/>
      <c r="S33" s="9"/>
    </row>
    <row r="34" spans="3:19" x14ac:dyDescent="0.25">
      <c r="C34" s="16">
        <v>4</v>
      </c>
      <c r="D34" s="16" t="s">
        <v>90</v>
      </c>
      <c r="E34" s="16"/>
      <c r="F34" s="16"/>
    </row>
    <row r="35" spans="3:19" x14ac:dyDescent="0.25">
      <c r="D35" s="10" t="s">
        <v>137</v>
      </c>
    </row>
    <row r="56" spans="4:9" x14ac:dyDescent="0.25">
      <c r="D56" s="42" t="s">
        <v>138</v>
      </c>
      <c r="E56" s="43"/>
      <c r="F56" s="43" t="s">
        <v>139</v>
      </c>
      <c r="G56" s="43" t="s">
        <v>52</v>
      </c>
      <c r="H56" s="43">
        <v>50</v>
      </c>
      <c r="I56" s="44" t="s">
        <v>89</v>
      </c>
    </row>
    <row r="57" spans="4:9" x14ac:dyDescent="0.25">
      <c r="D57" s="42" t="s">
        <v>140</v>
      </c>
      <c r="E57" s="43"/>
      <c r="F57" s="43" t="s">
        <v>141</v>
      </c>
      <c r="G57" s="43" t="s">
        <v>52</v>
      </c>
      <c r="H57" s="43">
        <v>225</v>
      </c>
      <c r="I57" s="44" t="s">
        <v>89</v>
      </c>
    </row>
    <row r="58" spans="4:9" x14ac:dyDescent="0.25">
      <c r="D58" s="42" t="s">
        <v>142</v>
      </c>
      <c r="E58" s="43"/>
      <c r="F58" s="43" t="s">
        <v>143</v>
      </c>
      <c r="G58" s="43" t="s">
        <v>52</v>
      </c>
      <c r="H58" s="43">
        <v>225</v>
      </c>
      <c r="I58" s="44" t="s">
        <v>89</v>
      </c>
    </row>
    <row r="59" spans="4:9" x14ac:dyDescent="0.25">
      <c r="D59" s="42"/>
      <c r="E59" s="43"/>
      <c r="F59" s="43"/>
      <c r="G59" s="43"/>
      <c r="H59" s="43"/>
      <c r="I59" s="43"/>
    </row>
    <row r="60" spans="4:9" x14ac:dyDescent="0.25">
      <c r="D60" s="42"/>
      <c r="E60" s="43"/>
      <c r="F60" s="43" t="s">
        <v>144</v>
      </c>
      <c r="G60" s="43" t="s">
        <v>52</v>
      </c>
      <c r="H60" s="43">
        <v>0.3</v>
      </c>
      <c r="I60" s="43"/>
    </row>
    <row r="61" spans="4:9" x14ac:dyDescent="0.25">
      <c r="D61" s="42" t="s">
        <v>145</v>
      </c>
      <c r="E61" s="43"/>
      <c r="F61" s="43"/>
      <c r="G61" s="43"/>
      <c r="H61" s="43"/>
      <c r="I61" s="43"/>
    </row>
    <row r="62" spans="4:9" x14ac:dyDescent="0.25">
      <c r="D62" s="42" t="s">
        <v>138</v>
      </c>
      <c r="E62" s="43"/>
      <c r="F62" s="43" t="s">
        <v>146</v>
      </c>
      <c r="G62" s="43" t="s">
        <v>52</v>
      </c>
      <c r="H62" s="43">
        <f>(1+H60)*H56</f>
        <v>65</v>
      </c>
      <c r="I62" s="44" t="s">
        <v>89</v>
      </c>
    </row>
    <row r="63" spans="4:9" x14ac:dyDescent="0.25">
      <c r="D63" s="42" t="s">
        <v>140</v>
      </c>
      <c r="E63" s="43"/>
      <c r="F63" s="43" t="s">
        <v>147</v>
      </c>
      <c r="G63" s="43" t="s">
        <v>52</v>
      </c>
      <c r="H63" s="43">
        <f>(1+H60)*H57</f>
        <v>292.5</v>
      </c>
      <c r="I63" s="44" t="s">
        <v>89</v>
      </c>
    </row>
    <row r="64" spans="4:9" x14ac:dyDescent="0.25">
      <c r="D64" s="42" t="s">
        <v>142</v>
      </c>
      <c r="E64" s="43"/>
      <c r="F64" s="43" t="s">
        <v>148</v>
      </c>
      <c r="G64" s="43" t="s">
        <v>52</v>
      </c>
      <c r="H64" s="43">
        <f>(1+H60)*H58</f>
        <v>292.5</v>
      </c>
      <c r="I64" s="44" t="s">
        <v>89</v>
      </c>
    </row>
    <row r="66" spans="3:12" x14ac:dyDescent="0.25">
      <c r="C66" s="16">
        <v>5</v>
      </c>
      <c r="D66" s="16" t="s">
        <v>91</v>
      </c>
      <c r="E66" s="16"/>
      <c r="F66" s="16"/>
    </row>
    <row r="67" spans="3:12" x14ac:dyDescent="0.25">
      <c r="D67" s="10" t="s">
        <v>92</v>
      </c>
    </row>
    <row r="68" spans="3:12" x14ac:dyDescent="0.25">
      <c r="C68" s="11" t="s">
        <v>93</v>
      </c>
      <c r="D68" s="10" t="s">
        <v>94</v>
      </c>
      <c r="G68" s="10" t="s">
        <v>52</v>
      </c>
      <c r="H68" s="10">
        <f>0.25*H63</f>
        <v>73.125</v>
      </c>
      <c r="I68" s="10" t="s">
        <v>89</v>
      </c>
    </row>
    <row r="69" spans="3:12" x14ac:dyDescent="0.25">
      <c r="C69" s="11" t="s">
        <v>93</v>
      </c>
      <c r="D69" s="10" t="s">
        <v>95</v>
      </c>
      <c r="G69" s="10" t="s">
        <v>52</v>
      </c>
      <c r="H69" s="10">
        <f>0.05*(SUM(H56:H58)+9*25*3.5)</f>
        <v>64.375</v>
      </c>
      <c r="I69" s="10" t="s">
        <v>89</v>
      </c>
      <c r="L69" s="11"/>
    </row>
    <row r="70" spans="3:12" x14ac:dyDescent="0.25">
      <c r="D70" s="29" t="s">
        <v>96</v>
      </c>
      <c r="E70" s="29"/>
      <c r="F70" s="29"/>
      <c r="G70" s="10" t="s">
        <v>52</v>
      </c>
      <c r="H70" s="10">
        <f>MAX(H68:H69)</f>
        <v>73.125</v>
      </c>
      <c r="I70" s="10" t="s">
        <v>89</v>
      </c>
      <c r="J70" s="10" t="s">
        <v>149</v>
      </c>
      <c r="K70" s="12"/>
      <c r="L70" s="13"/>
    </row>
    <row r="71" spans="3:12" x14ac:dyDescent="0.25">
      <c r="D71" s="13"/>
      <c r="E71" s="45"/>
      <c r="F71" s="27"/>
      <c r="G71" s="26" t="s">
        <v>52</v>
      </c>
      <c r="H71" s="46">
        <f>H70/H7</f>
        <v>1.3981835564053537</v>
      </c>
      <c r="I71" s="26" t="s">
        <v>68</v>
      </c>
      <c r="J71" s="17"/>
      <c r="K71" s="12"/>
      <c r="L71" s="13"/>
    </row>
    <row r="72" spans="3:12" x14ac:dyDescent="0.25">
      <c r="D72" s="13"/>
      <c r="E72" s="13"/>
      <c r="F72" s="24" t="s">
        <v>150</v>
      </c>
      <c r="G72" s="10" t="s">
        <v>52</v>
      </c>
      <c r="H72" s="47">
        <f>H71</f>
        <v>1.3981835564053537</v>
      </c>
      <c r="I72" s="17" t="s">
        <v>68</v>
      </c>
      <c r="J72" s="17"/>
      <c r="K72" s="12"/>
      <c r="L72" s="13"/>
    </row>
    <row r="73" spans="3:12" x14ac:dyDescent="0.25">
      <c r="E73" s="26"/>
      <c r="F73" s="24" t="s">
        <v>154</v>
      </c>
      <c r="G73" s="10" t="s">
        <v>52</v>
      </c>
      <c r="H73" s="47">
        <f>H72/2</f>
        <v>0.69909177820267687</v>
      </c>
      <c r="I73" s="17" t="s">
        <v>68</v>
      </c>
      <c r="J73" s="26"/>
      <c r="K73" s="12"/>
      <c r="L73" s="13"/>
    </row>
    <row r="74" spans="3:12" x14ac:dyDescent="0.25">
      <c r="G74" s="14"/>
      <c r="H74" s="15"/>
    </row>
    <row r="75" spans="3:12" x14ac:dyDescent="0.25">
      <c r="G75" s="14"/>
      <c r="H75" s="15"/>
    </row>
    <row r="76" spans="3:12" x14ac:dyDescent="0.25">
      <c r="C76" s="16">
        <v>7</v>
      </c>
      <c r="D76" s="22" t="s">
        <v>98</v>
      </c>
      <c r="E76" s="22"/>
      <c r="F76" s="29"/>
    </row>
    <row r="77" spans="3:12" x14ac:dyDescent="0.25">
      <c r="D77" s="16" t="s">
        <v>99</v>
      </c>
      <c r="E77" s="16"/>
    </row>
    <row r="78" spans="3:12" x14ac:dyDescent="0.25">
      <c r="C78" s="11" t="s">
        <v>93</v>
      </c>
      <c r="D78" s="10" t="s">
        <v>120</v>
      </c>
      <c r="G78" s="10" t="s">
        <v>52</v>
      </c>
      <c r="H78" s="32">
        <v>126</v>
      </c>
      <c r="I78" s="33" t="s">
        <v>100</v>
      </c>
      <c r="J78" s="34" t="s">
        <v>101</v>
      </c>
    </row>
    <row r="79" spans="3:12" ht="30" customHeight="1" x14ac:dyDescent="0.25">
      <c r="C79" s="11"/>
      <c r="D79" s="10" t="s">
        <v>102</v>
      </c>
      <c r="F79" s="35" t="s">
        <v>103</v>
      </c>
      <c r="G79" s="10" t="s">
        <v>52</v>
      </c>
      <c r="H79" s="28">
        <f>HLOOKUP(F79,[1]Sheet2!B3:D5,2,FALSE)</f>
        <v>13.2</v>
      </c>
      <c r="I79" s="33" t="s">
        <v>100</v>
      </c>
    </row>
    <row r="80" spans="3:12" ht="15" customHeight="1" x14ac:dyDescent="0.25">
      <c r="C80" s="36" t="s">
        <v>93</v>
      </c>
      <c r="D80" s="151" t="s">
        <v>121</v>
      </c>
      <c r="E80" s="151"/>
      <c r="F80" s="151"/>
      <c r="G80" s="37" t="s">
        <v>52</v>
      </c>
      <c r="H80" s="28">
        <v>100</v>
      </c>
      <c r="I80" s="33" t="s">
        <v>100</v>
      </c>
      <c r="J80" s="38"/>
    </row>
    <row r="81" spans="3:10" x14ac:dyDescent="0.25">
      <c r="C81" s="11" t="s">
        <v>93</v>
      </c>
      <c r="D81" s="151" t="s">
        <v>104</v>
      </c>
      <c r="E81" s="39"/>
      <c r="F81" s="39"/>
      <c r="G81" s="153" t="s">
        <v>52</v>
      </c>
      <c r="H81" s="154">
        <v>9000</v>
      </c>
      <c r="I81" s="155" t="s">
        <v>63</v>
      </c>
    </row>
    <row r="82" spans="3:10" x14ac:dyDescent="0.25">
      <c r="C82" s="11"/>
      <c r="D82" s="151"/>
      <c r="E82" s="39"/>
      <c r="G82" s="153"/>
      <c r="H82" s="154"/>
      <c r="I82" s="155"/>
    </row>
    <row r="83" spans="3:10" x14ac:dyDescent="0.25">
      <c r="C83" s="11" t="s">
        <v>93</v>
      </c>
      <c r="D83" s="10" t="s">
        <v>105</v>
      </c>
      <c r="F83" s="10" t="str">
        <f>F79</f>
        <v>Lahan Terbuka</v>
      </c>
      <c r="G83" s="10" t="s">
        <v>52</v>
      </c>
      <c r="H83" s="28">
        <f>HLOOKUP(F83,[1]Sheet2!B3:D5,3,FALSE)</f>
        <v>70</v>
      </c>
      <c r="I83" s="33" t="s">
        <v>63</v>
      </c>
    </row>
    <row r="84" spans="3:10" x14ac:dyDescent="0.25">
      <c r="F84" s="151" t="s">
        <v>106</v>
      </c>
    </row>
    <row r="85" spans="3:10" x14ac:dyDescent="0.25">
      <c r="C85" s="11" t="s">
        <v>93</v>
      </c>
      <c r="F85" s="151"/>
      <c r="G85" s="10" t="s">
        <v>52</v>
      </c>
      <c r="H85" s="37">
        <f>2.5*H79*(H80/H78)*(LN(H81/H83))</f>
        <v>127.19364465942613</v>
      </c>
      <c r="I85" s="33" t="s">
        <v>100</v>
      </c>
    </row>
    <row r="86" spans="3:10" x14ac:dyDescent="0.25">
      <c r="F86" s="151"/>
    </row>
    <row r="88" spans="3:10" x14ac:dyDescent="0.25">
      <c r="C88" s="16" t="s">
        <v>107</v>
      </c>
      <c r="D88" s="16" t="s">
        <v>122</v>
      </c>
      <c r="E88" s="16"/>
    </row>
    <row r="89" spans="3:10" x14ac:dyDescent="0.25">
      <c r="C89" s="11" t="s">
        <v>93</v>
      </c>
      <c r="D89" s="10" t="s">
        <v>123</v>
      </c>
      <c r="F89" s="150" t="s">
        <v>153</v>
      </c>
      <c r="G89" s="10" t="s">
        <v>52</v>
      </c>
      <c r="H89" s="10">
        <f>VLOOKUP(F89,[1]Sheet2!A9:C11,2,FALSE)</f>
        <v>1.9E-3</v>
      </c>
      <c r="I89" s="10" t="s">
        <v>110</v>
      </c>
      <c r="J89" s="10" t="s">
        <v>108</v>
      </c>
    </row>
    <row r="90" spans="3:10" x14ac:dyDescent="0.25">
      <c r="C90" s="11"/>
      <c r="F90" s="150"/>
      <c r="G90" s="10" t="s">
        <v>52</v>
      </c>
      <c r="H90" s="10" t="str">
        <f>VLOOKUP(F89,[1]Sheet2!A9:C11,3,FALSE)</f>
        <v>N/A</v>
      </c>
      <c r="I90" s="10" t="s">
        <v>110</v>
      </c>
      <c r="J90" s="10" t="s">
        <v>109</v>
      </c>
    </row>
    <row r="91" spans="3:10" x14ac:dyDescent="0.25">
      <c r="C91" s="11" t="s">
        <v>93</v>
      </c>
      <c r="D91" s="10" t="s">
        <v>124</v>
      </c>
      <c r="G91" s="10" t="s">
        <v>52</v>
      </c>
      <c r="H91" s="10">
        <f>H89*((H85/H78)^2)</f>
        <v>1.9361693222047041E-3</v>
      </c>
      <c r="I91" s="10" t="s">
        <v>110</v>
      </c>
      <c r="J91" s="10" t="s">
        <v>108</v>
      </c>
    </row>
    <row r="92" spans="3:10" x14ac:dyDescent="0.25">
      <c r="G92" s="10" t="s">
        <v>52</v>
      </c>
      <c r="H92" s="10" t="str">
        <f>IF(H90="N/A","N/A",H90*((H85/H78)^2))</f>
        <v>N/A</v>
      </c>
      <c r="I92" s="10" t="s">
        <v>110</v>
      </c>
      <c r="J92" s="10" t="s">
        <v>109</v>
      </c>
    </row>
    <row r="93" spans="3:10" x14ac:dyDescent="0.25">
      <c r="F93" s="151" t="s">
        <v>111</v>
      </c>
      <c r="G93" s="10" t="s">
        <v>52</v>
      </c>
      <c r="H93" s="10">
        <v>4.4000000000000004</v>
      </c>
      <c r="I93" s="10" t="s">
        <v>68</v>
      </c>
      <c r="J93" s="10" t="s">
        <v>108</v>
      </c>
    </row>
    <row r="94" spans="3:10" x14ac:dyDescent="0.25">
      <c r="F94" s="151"/>
      <c r="G94" s="10" t="s">
        <v>52</v>
      </c>
      <c r="H94" s="10">
        <v>2.2000000000000002</v>
      </c>
      <c r="I94" s="10" t="s">
        <v>68</v>
      </c>
      <c r="J94" s="10" t="s">
        <v>109</v>
      </c>
    </row>
    <row r="95" spans="3:10" x14ac:dyDescent="0.25">
      <c r="F95" s="29" t="s">
        <v>112</v>
      </c>
      <c r="G95" s="10" t="s">
        <v>52</v>
      </c>
      <c r="H95" s="17">
        <f>MAX(H91,H89)</f>
        <v>1.9361693222047041E-3</v>
      </c>
      <c r="I95" s="17" t="s">
        <v>110</v>
      </c>
      <c r="J95" s="17" t="s">
        <v>108</v>
      </c>
    </row>
    <row r="96" spans="3:10" x14ac:dyDescent="0.25">
      <c r="G96" s="10" t="s">
        <v>52</v>
      </c>
      <c r="H96" s="17" t="str">
        <f>IF(H92="N/A","N/A",MAX(H92,H94))</f>
        <v>N/A</v>
      </c>
      <c r="I96" s="17" t="s">
        <v>110</v>
      </c>
      <c r="J96" s="17" t="s">
        <v>109</v>
      </c>
    </row>
    <row r="97" spans="3:10" x14ac:dyDescent="0.25">
      <c r="J97" s="17"/>
    </row>
    <row r="98" spans="3:10" x14ac:dyDescent="0.25">
      <c r="C98" s="16" t="s">
        <v>113</v>
      </c>
      <c r="D98" s="16" t="s">
        <v>114</v>
      </c>
      <c r="E98" s="16"/>
      <c r="J98" s="17"/>
    </row>
    <row r="99" spans="3:10" x14ac:dyDescent="0.25">
      <c r="F99" s="10" t="s">
        <v>115</v>
      </c>
      <c r="G99" s="10" t="s">
        <v>52</v>
      </c>
      <c r="H99" s="152" t="s">
        <v>116</v>
      </c>
      <c r="I99" s="152"/>
    </row>
    <row r="100" spans="3:10" x14ac:dyDescent="0.25">
      <c r="F100" s="10" t="s">
        <v>117</v>
      </c>
      <c r="G100" s="10" t="s">
        <v>52</v>
      </c>
      <c r="H100" s="40">
        <v>0</v>
      </c>
      <c r="I100" s="10" t="s">
        <v>118</v>
      </c>
    </row>
    <row r="101" spans="3:10" x14ac:dyDescent="0.25">
      <c r="F101" s="10" t="s">
        <v>119</v>
      </c>
      <c r="G101" s="10" t="s">
        <v>52</v>
      </c>
      <c r="H101" s="10">
        <f>IF('Perhitungan Beban'!H99:I99=[1]Sheet2!B15,VLOOKUP('Perhitungan Beban'!H100,[1]Sheet2!A16:C20,2,FALSE),VLOOKUP('Perhitungan Beban'!H100,[1]Sheet2!A16:C20,3,FALSE))</f>
        <v>1.46</v>
      </c>
      <c r="I101" s="10" t="s">
        <v>68</v>
      </c>
    </row>
    <row r="102" spans="3:10" x14ac:dyDescent="0.25">
      <c r="F102" s="24" t="s">
        <v>150</v>
      </c>
      <c r="G102" s="10" t="s">
        <v>52</v>
      </c>
      <c r="H102" s="17">
        <f>H101</f>
        <v>1.46</v>
      </c>
      <c r="I102" s="17" t="s">
        <v>68</v>
      </c>
    </row>
    <row r="103" spans="3:10" x14ac:dyDescent="0.25">
      <c r="F103" s="30" t="s">
        <v>97</v>
      </c>
      <c r="G103" s="31" t="s">
        <v>52</v>
      </c>
      <c r="H103" s="31">
        <v>1.8</v>
      </c>
      <c r="I103" s="31" t="s">
        <v>3</v>
      </c>
      <c r="J103" s="10" t="s">
        <v>151</v>
      </c>
    </row>
    <row r="104" spans="3:10" x14ac:dyDescent="0.25">
      <c r="G104" s="31" t="s">
        <v>52</v>
      </c>
      <c r="H104" s="31">
        <v>1.8</v>
      </c>
      <c r="I104" s="31" t="s">
        <v>3</v>
      </c>
      <c r="J104" s="10" t="s">
        <v>152</v>
      </c>
    </row>
  </sheetData>
  <mergeCells count="15">
    <mergeCell ref="F89:F90"/>
    <mergeCell ref="F93:F94"/>
    <mergeCell ref="H99:I99"/>
    <mergeCell ref="D80:F80"/>
    <mergeCell ref="D81:D82"/>
    <mergeCell ref="G81:G82"/>
    <mergeCell ref="H81:H82"/>
    <mergeCell ref="I81:I82"/>
    <mergeCell ref="F84:F86"/>
    <mergeCell ref="D18:I18"/>
    <mergeCell ref="D1:J1"/>
    <mergeCell ref="D2:J2"/>
    <mergeCell ref="D4:I4"/>
    <mergeCell ref="C12:I12"/>
    <mergeCell ref="H15:J15"/>
  </mergeCells>
  <pageMargins left="0.7" right="0.7" top="0.75" bottom="0.75" header="0.3" footer="0.3"/>
  <pageSetup paperSize="9" scale="72" orientation="portrait" r:id="rId1"/>
  <rowBreaks count="1" manualBreakCount="1">
    <brk id="33" min="1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0373-DC7A-424C-ACD3-B5D29CBAAAB0}">
  <sheetPr codeName="Sheet10"/>
  <dimension ref="A1:Z26"/>
  <sheetViews>
    <sheetView topLeftCell="A9" zoomScaleNormal="100" workbookViewId="0">
      <selection activeCell="N16" sqref="N16"/>
    </sheetView>
  </sheetViews>
  <sheetFormatPr defaultRowHeight="15" x14ac:dyDescent="0.25"/>
  <cols>
    <col min="1" max="1" width="11" style="68" bestFit="1" customWidth="1"/>
    <col min="2" max="4" width="9.140625" style="68"/>
    <col min="5" max="5" width="9.85546875" style="68" bestFit="1" customWidth="1"/>
    <col min="6" max="6" width="12.140625" style="68" customWidth="1"/>
    <col min="7" max="11" width="9.140625" style="68"/>
    <col min="12" max="12" width="10.5703125" style="68" customWidth="1"/>
    <col min="13" max="15" width="9.140625" style="68"/>
    <col min="16" max="17" width="11.42578125" style="68" customWidth="1"/>
    <col min="18" max="19" width="9.140625" style="68"/>
    <col min="20" max="20" width="11.42578125" style="68" bestFit="1" customWidth="1"/>
    <col min="21" max="16384" width="9.140625" style="68"/>
  </cols>
  <sheetData>
    <row r="1" spans="1:26" x14ac:dyDescent="0.25">
      <c r="M1" s="84" t="s">
        <v>2057</v>
      </c>
      <c r="N1" s="84" t="s">
        <v>52</v>
      </c>
      <c r="O1" s="84">
        <v>30</v>
      </c>
      <c r="P1" s="54" t="s">
        <v>110</v>
      </c>
    </row>
    <row r="2" spans="1:26" x14ac:dyDescent="0.25">
      <c r="A2" s="169" t="s">
        <v>2039</v>
      </c>
      <c r="B2" s="84" t="s">
        <v>2044</v>
      </c>
      <c r="C2" s="84" t="s">
        <v>52</v>
      </c>
      <c r="D2" s="53">
        <v>25.012499999999999</v>
      </c>
      <c r="E2" s="68" t="s">
        <v>3</v>
      </c>
      <c r="M2" s="84" t="s">
        <v>2058</v>
      </c>
      <c r="N2" s="84" t="s">
        <v>52</v>
      </c>
      <c r="O2" s="84">
        <v>245</v>
      </c>
      <c r="P2" s="54" t="s">
        <v>110</v>
      </c>
      <c r="Q2" s="84"/>
    </row>
    <row r="3" spans="1:26" x14ac:dyDescent="0.25">
      <c r="A3" s="169"/>
      <c r="B3" s="84" t="s">
        <v>2045</v>
      </c>
      <c r="C3" s="84" t="s">
        <v>52</v>
      </c>
      <c r="D3" s="51">
        <f>MAX(H11:H12)</f>
        <v>47.74118398125924</v>
      </c>
      <c r="M3" s="43" t="s">
        <v>2060</v>
      </c>
      <c r="N3" s="84" t="s">
        <v>52</v>
      </c>
      <c r="O3" s="84">
        <f>('Kapasitas P1 Komposit'!L13+'Kapasitas P1 Komposit'!L14)/'Kapasitas P1 Komposit'!L12</f>
        <v>1.4979243322528655E-2</v>
      </c>
      <c r="Q3" s="84"/>
    </row>
    <row r="4" spans="1:26" x14ac:dyDescent="0.25">
      <c r="A4" s="169"/>
      <c r="B4" s="84" t="s">
        <v>2046</v>
      </c>
      <c r="C4" s="84" t="s">
        <v>52</v>
      </c>
      <c r="D4" s="51">
        <f>D2*1000/D3</f>
        <v>523.91871994248481</v>
      </c>
      <c r="L4" s="169" t="s">
        <v>2039</v>
      </c>
      <c r="M4" s="84" t="s">
        <v>2061</v>
      </c>
      <c r="N4" s="84" t="s">
        <v>52</v>
      </c>
      <c r="O4" s="86">
        <f>'Hasil P1 Kuat I'!H2*0.35/'Hasil P1 Kuat I'!J2</f>
        <v>0.3635302593659942</v>
      </c>
      <c r="P4" s="54"/>
      <c r="Q4" s="84">
        <f>(0.3*SQRT(O1)*776*350)/1000</f>
        <v>446.28433985520934</v>
      </c>
    </row>
    <row r="5" spans="1:26" x14ac:dyDescent="0.25">
      <c r="A5" s="169"/>
      <c r="B5" s="84" t="s">
        <v>2047</v>
      </c>
      <c r="C5" s="84" t="s">
        <v>52</v>
      </c>
      <c r="D5" s="51">
        <f>(34*10^6)/D4^2</f>
        <v>123.86570657452376</v>
      </c>
      <c r="E5" s="68" t="s">
        <v>110</v>
      </c>
      <c r="L5" s="169"/>
      <c r="M5" s="84" t="s">
        <v>2065</v>
      </c>
      <c r="N5" s="84" t="s">
        <v>52</v>
      </c>
      <c r="O5" s="86">
        <f>-$O$16*1000/'Kapasitas P1 Komposit'!L12</f>
        <v>3.1908321060382918</v>
      </c>
      <c r="P5" s="68" t="s">
        <v>110</v>
      </c>
      <c r="Q5" s="84"/>
    </row>
    <row r="6" spans="1:26" x14ac:dyDescent="0.25">
      <c r="A6" s="169" t="s">
        <v>2040</v>
      </c>
      <c r="B6" s="84" t="s">
        <v>2044</v>
      </c>
      <c r="C6" s="84" t="s">
        <v>52</v>
      </c>
      <c r="D6" s="53">
        <v>12</v>
      </c>
      <c r="E6" s="68" t="s">
        <v>3</v>
      </c>
      <c r="L6" s="169"/>
      <c r="M6" s="84" t="s">
        <v>2059</v>
      </c>
      <c r="N6" s="84" t="s">
        <v>52</v>
      </c>
      <c r="O6" s="87">
        <f>((SQRT(O1)+120*O3*O4)*776*350/7)/1000</f>
        <v>237.87017293844042</v>
      </c>
      <c r="P6" s="54" t="s">
        <v>89</v>
      </c>
      <c r="Q6" s="84"/>
    </row>
    <row r="7" spans="1:26" x14ac:dyDescent="0.25">
      <c r="A7" s="169"/>
      <c r="B7" s="84" t="s">
        <v>2045</v>
      </c>
      <c r="C7" s="84" t="s">
        <v>52</v>
      </c>
      <c r="D7" s="51">
        <f>MAX(H11:H12)</f>
        <v>47.74118398125924</v>
      </c>
      <c r="L7" s="169"/>
      <c r="M7" s="84" t="s">
        <v>2064</v>
      </c>
      <c r="N7" s="84" t="s">
        <v>52</v>
      </c>
      <c r="O7" s="87">
        <f>((1+0.3*O5)*SQRT(O1)/6*776*350)/1000</f>
        <v>485.27214436935628</v>
      </c>
      <c r="P7" s="54" t="s">
        <v>89</v>
      </c>
      <c r="Q7" s="84"/>
    </row>
    <row r="8" spans="1:26" x14ac:dyDescent="0.25">
      <c r="A8" s="169"/>
      <c r="B8" s="84" t="s">
        <v>2046</v>
      </c>
      <c r="C8" s="84" t="s">
        <v>52</v>
      </c>
      <c r="D8" s="51">
        <f>D6*1000/D7</f>
        <v>251.35530791843348</v>
      </c>
      <c r="L8" s="169" t="s">
        <v>2040</v>
      </c>
      <c r="M8" s="84" t="s">
        <v>2061</v>
      </c>
      <c r="N8" s="84" t="s">
        <v>52</v>
      </c>
      <c r="O8" s="86">
        <f>'Hasil P2 Kuat I'!I2*0.35/'Hasil P2 Kuat I'!K2</f>
        <v>-0.39955982180738225</v>
      </c>
      <c r="P8" s="54"/>
      <c r="Q8" s="84"/>
    </row>
    <row r="9" spans="1:26" x14ac:dyDescent="0.25">
      <c r="A9" s="169"/>
      <c r="B9" s="84" t="s">
        <v>2047</v>
      </c>
      <c r="C9" s="84" t="s">
        <v>52</v>
      </c>
      <c r="D9" s="51">
        <v>245</v>
      </c>
      <c r="E9" s="68" t="s">
        <v>110</v>
      </c>
      <c r="L9" s="169"/>
      <c r="M9" s="84" t="s">
        <v>2065</v>
      </c>
      <c r="N9" s="84" t="s">
        <v>52</v>
      </c>
      <c r="O9" s="86">
        <f>-$O$17*1000/'Kapasitas P1 Komposit'!L12</f>
        <v>3.6544182621502208</v>
      </c>
      <c r="P9" s="68" t="s">
        <v>110</v>
      </c>
      <c r="Q9" s="84"/>
    </row>
    <row r="10" spans="1:26" x14ac:dyDescent="0.25">
      <c r="B10" s="94" t="s">
        <v>2093</v>
      </c>
      <c r="C10" s="94" t="s">
        <v>52</v>
      </c>
      <c r="D10" s="68">
        <v>298913</v>
      </c>
      <c r="E10" s="68" t="s">
        <v>2097</v>
      </c>
      <c r="L10" s="169"/>
      <c r="M10" s="84" t="s">
        <v>2059</v>
      </c>
      <c r="N10" s="84" t="s">
        <v>52</v>
      </c>
      <c r="O10" s="87">
        <f>((SQRT(O1)+120*O3*O8)*776*350/7)/1000</f>
        <v>184.64970905291872</v>
      </c>
      <c r="P10" s="54" t="s">
        <v>89</v>
      </c>
      <c r="Q10" s="84"/>
    </row>
    <row r="11" spans="1:26" x14ac:dyDescent="0.25">
      <c r="B11" s="94" t="s">
        <v>2094</v>
      </c>
      <c r="C11" s="94" t="s">
        <v>52</v>
      </c>
      <c r="D11" s="68">
        <v>20291400</v>
      </c>
      <c r="E11" s="68" t="s">
        <v>2097</v>
      </c>
      <c r="F11" s="68" t="s">
        <v>2095</v>
      </c>
      <c r="G11" s="68" t="s">
        <v>52</v>
      </c>
      <c r="H11" s="51">
        <f>SQRT(D10/$D$12)</f>
        <v>5.7944147926543002</v>
      </c>
      <c r="I11" s="68" t="s">
        <v>63</v>
      </c>
      <c r="L11" s="169"/>
      <c r="M11" s="84" t="s">
        <v>2064</v>
      </c>
      <c r="N11" s="84" t="s">
        <v>52</v>
      </c>
      <c r="O11" s="87">
        <f>((1+0.3*O9)*SQRT(O1)/6*776*350)/1000</f>
        <v>519.75401797709389</v>
      </c>
      <c r="P11" s="54" t="s">
        <v>89</v>
      </c>
      <c r="Q11" s="84"/>
    </row>
    <row r="12" spans="1:26" x14ac:dyDescent="0.25">
      <c r="B12" s="94" t="s">
        <v>11</v>
      </c>
      <c r="C12" s="94" t="s">
        <v>52</v>
      </c>
      <c r="D12" s="68">
        <v>8902.7800000000007</v>
      </c>
      <c r="E12" s="68" t="s">
        <v>176</v>
      </c>
      <c r="F12" s="68" t="s">
        <v>2096</v>
      </c>
      <c r="G12" s="68" t="s">
        <v>52</v>
      </c>
      <c r="H12" s="51">
        <f>SQRT(D11/$D$12)</f>
        <v>47.74118398125924</v>
      </c>
      <c r="I12" s="68" t="s">
        <v>63</v>
      </c>
      <c r="L12" s="85"/>
      <c r="M12" s="84" t="s">
        <v>2056</v>
      </c>
      <c r="N12" s="84" t="s">
        <v>52</v>
      </c>
      <c r="O12" s="68">
        <f>(0.6*'Kapasitas P1 Komposit'!L15*'Perbandingan Vs Perencanaan-old'!O2)/1000</f>
        <v>1312.4159999999999</v>
      </c>
      <c r="P12" s="54" t="s">
        <v>89</v>
      </c>
      <c r="Q12" s="84"/>
    </row>
    <row r="13" spans="1:26" x14ac:dyDescent="0.25">
      <c r="H13" s="51"/>
    </row>
    <row r="14" spans="1:26" x14ac:dyDescent="0.25">
      <c r="A14" s="156" t="s">
        <v>2071</v>
      </c>
      <c r="B14" s="156"/>
      <c r="C14" s="156"/>
      <c r="D14" s="156"/>
      <c r="E14" s="156"/>
      <c r="F14" s="156"/>
      <c r="G14" s="156"/>
      <c r="L14" s="156" t="s">
        <v>2101</v>
      </c>
      <c r="M14" s="156"/>
      <c r="N14" s="156"/>
      <c r="O14" s="156"/>
      <c r="P14" s="156"/>
      <c r="Q14" s="156"/>
      <c r="T14" s="156" t="s">
        <v>2101</v>
      </c>
      <c r="U14" s="156"/>
      <c r="V14" s="156"/>
      <c r="W14" s="156"/>
      <c r="X14" s="156"/>
      <c r="Y14" s="156"/>
      <c r="Z14" s="156"/>
    </row>
    <row r="15" spans="1:26" ht="15" customHeight="1" x14ac:dyDescent="0.25">
      <c r="A15" s="83" t="s">
        <v>2036</v>
      </c>
      <c r="B15" s="83" t="s">
        <v>2038</v>
      </c>
      <c r="C15" s="83" t="s">
        <v>2041</v>
      </c>
      <c r="D15" s="83" t="s">
        <v>2042</v>
      </c>
      <c r="E15" s="83" t="s">
        <v>2075</v>
      </c>
      <c r="F15" s="83" t="s">
        <v>2043</v>
      </c>
      <c r="G15" s="91" t="s">
        <v>2087</v>
      </c>
      <c r="L15" s="83" t="s">
        <v>2036</v>
      </c>
      <c r="M15" s="83" t="s">
        <v>2038</v>
      </c>
      <c r="N15" s="83" t="s">
        <v>2052</v>
      </c>
      <c r="O15" s="83" t="s">
        <v>2051</v>
      </c>
      <c r="P15" s="83" t="s">
        <v>2053</v>
      </c>
      <c r="Q15" s="83" t="s">
        <v>2054</v>
      </c>
      <c r="T15" s="161" t="s">
        <v>2098</v>
      </c>
      <c r="U15" s="163" t="s">
        <v>2073</v>
      </c>
      <c r="V15" s="164"/>
      <c r="W15" s="165" t="s">
        <v>2074</v>
      </c>
      <c r="X15" s="166"/>
      <c r="Y15" s="156" t="s">
        <v>2099</v>
      </c>
      <c r="Z15" s="156"/>
    </row>
    <row r="16" spans="1:26" x14ac:dyDescent="0.25">
      <c r="A16" s="158" t="s">
        <v>2121</v>
      </c>
      <c r="B16" s="83" t="s">
        <v>2039</v>
      </c>
      <c r="C16" s="95">
        <v>1.29</v>
      </c>
      <c r="D16" s="95">
        <v>-8.84</v>
      </c>
      <c r="E16" s="82">
        <f>0.45*$O$1</f>
        <v>13.5</v>
      </c>
      <c r="F16" s="83" t="str">
        <f>IF(ABS(C16)&lt;E16,IF(ABS(D16)&lt;E16,"OK!","Tidak OK!"),"Tidak OK!")</f>
        <v>OK!</v>
      </c>
      <c r="G16" s="98" cm="1">
        <f t="array" ref="G16">ABS(E16/MAX(ABS(C16:D16)))</f>
        <v>1.5271493212669685</v>
      </c>
      <c r="L16" s="158" t="s">
        <v>2121</v>
      </c>
      <c r="M16" s="83" t="s">
        <v>2039</v>
      </c>
      <c r="N16" s="95">
        <f>'Hasil P1 Kuat I'!N2</f>
        <v>540.23</v>
      </c>
      <c r="O16" s="95">
        <f>'Hasil P1 Kuat I'!N3</f>
        <v>-866.63</v>
      </c>
      <c r="P16" s="96">
        <f>'Hasil P1 Kuat I'!O2</f>
        <v>242.9</v>
      </c>
      <c r="Q16" s="82">
        <f>'Hasil P1 Kuat I'!O3</f>
        <v>-60.35</v>
      </c>
      <c r="T16" s="162"/>
      <c r="U16" s="93" t="s">
        <v>2039</v>
      </c>
      <c r="V16" s="93" t="s">
        <v>2040</v>
      </c>
      <c r="W16" s="93" t="s">
        <v>2039</v>
      </c>
      <c r="X16" s="93" t="s">
        <v>2040</v>
      </c>
      <c r="Y16" s="93" t="s">
        <v>2039</v>
      </c>
      <c r="Z16" s="93" t="s">
        <v>2040</v>
      </c>
    </row>
    <row r="17" spans="1:26" x14ac:dyDescent="0.25">
      <c r="A17" s="158"/>
      <c r="B17" s="83" t="s">
        <v>2040</v>
      </c>
      <c r="C17" s="95">
        <v>5.97</v>
      </c>
      <c r="D17" s="95">
        <v>-7.82</v>
      </c>
      <c r="E17" s="82">
        <f t="shared" ref="E17:E19" si="0">0.45*$O$1</f>
        <v>13.5</v>
      </c>
      <c r="F17" s="83" t="str">
        <f t="shared" ref="F17:F19" si="1">IF(ABS(C17)&lt;E17,IF(ABS(D17)&lt;E17,"OK!","Tidak OK!"),"Tidak OK!")</f>
        <v>OK!</v>
      </c>
      <c r="G17" s="98" cm="1">
        <f t="array" ref="G17">ABS(E17/MAX(ABS(C17:D17)))</f>
        <v>1.7263427109974423</v>
      </c>
      <c r="L17" s="158"/>
      <c r="M17" s="83" t="s">
        <v>2040</v>
      </c>
      <c r="N17" s="95">
        <f>'Hasil P2 Kuat I'!O2</f>
        <v>424.27</v>
      </c>
      <c r="O17" s="95">
        <f>'Hasil P2 Kuat I'!O3</f>
        <v>-992.54</v>
      </c>
      <c r="P17" s="96">
        <f>'Hasil P2 Kuat I'!P2</f>
        <v>48.68</v>
      </c>
      <c r="Q17" s="82">
        <f>'Hasil P2 Kuat I'!P3</f>
        <v>-94.28</v>
      </c>
      <c r="T17" s="93" t="s">
        <v>2052</v>
      </c>
      <c r="U17" s="93">
        <f t="array" ref="U17:X20">TRANSPOSE(N16:Q19)</f>
        <v>540.23</v>
      </c>
      <c r="V17" s="93">
        <v>424.27</v>
      </c>
      <c r="W17" s="93">
        <v>0</v>
      </c>
      <c r="X17" s="93">
        <v>0</v>
      </c>
      <c r="Y17" s="97" t="s">
        <v>93</v>
      </c>
      <c r="Z17" s="97" t="s">
        <v>93</v>
      </c>
    </row>
    <row r="18" spans="1:26" x14ac:dyDescent="0.25">
      <c r="A18" s="158" t="s">
        <v>2074</v>
      </c>
      <c r="B18" s="83" t="s">
        <v>2039</v>
      </c>
      <c r="C18" s="167">
        <v>5.47</v>
      </c>
      <c r="D18" s="168"/>
      <c r="E18" s="82">
        <f t="shared" si="0"/>
        <v>13.5</v>
      </c>
      <c r="F18" s="83" t="str">
        <f t="shared" si="1"/>
        <v>OK!</v>
      </c>
      <c r="G18" s="98" cm="1">
        <f t="array" ref="G18">ABS(E18/MAX(ABS(C18:D18)))</f>
        <v>2.4680073126142599</v>
      </c>
      <c r="L18" s="158" t="s">
        <v>2074</v>
      </c>
      <c r="M18" s="83" t="s">
        <v>2039</v>
      </c>
      <c r="N18" s="89">
        <v>0</v>
      </c>
      <c r="O18" s="89">
        <v>-1666.19</v>
      </c>
      <c r="P18" s="82">
        <v>233.398</v>
      </c>
      <c r="Q18" s="82">
        <v>-74.797799999999995</v>
      </c>
      <c r="T18" s="93" t="s">
        <v>2051</v>
      </c>
      <c r="U18" s="93">
        <v>-866.63</v>
      </c>
      <c r="V18" s="93">
        <v>-992.54</v>
      </c>
      <c r="W18" s="93">
        <v>-1666.19</v>
      </c>
      <c r="X18" s="93">
        <v>-900.822</v>
      </c>
      <c r="Y18" s="100">
        <f t="shared" ref="Y18:Z20" si="2">(U18-W18)/W18</f>
        <v>-0.47987324374771184</v>
      </c>
      <c r="Z18" s="100">
        <f t="shared" si="2"/>
        <v>0.1018158970362624</v>
      </c>
    </row>
    <row r="19" spans="1:26" x14ac:dyDescent="0.25">
      <c r="A19" s="158"/>
      <c r="B19" s="83" t="s">
        <v>2040</v>
      </c>
      <c r="C19" s="167">
        <v>7.75</v>
      </c>
      <c r="D19" s="168"/>
      <c r="E19" s="82">
        <f t="shared" si="0"/>
        <v>13.5</v>
      </c>
      <c r="F19" s="83" t="str">
        <f t="shared" si="1"/>
        <v>OK!</v>
      </c>
      <c r="G19" s="98" cm="1">
        <f t="array" ref="G19">ABS(E19/MAX(ABS(C19:D19)))</f>
        <v>1.7419354838709677</v>
      </c>
      <c r="L19" s="158"/>
      <c r="M19" s="83" t="s">
        <v>2040</v>
      </c>
      <c r="N19" s="99">
        <v>0</v>
      </c>
      <c r="O19" s="90">
        <v>-900.822</v>
      </c>
      <c r="P19" s="82">
        <v>97.01</v>
      </c>
      <c r="Q19" s="82">
        <v>-153.14099999999999</v>
      </c>
      <c r="T19" s="93" t="s">
        <v>2053</v>
      </c>
      <c r="U19" s="82">
        <v>242.9</v>
      </c>
      <c r="V19" s="82">
        <v>48.68</v>
      </c>
      <c r="W19" s="82">
        <v>233.398</v>
      </c>
      <c r="X19" s="82">
        <v>97.01</v>
      </c>
      <c r="Y19" s="100">
        <f t="shared" si="2"/>
        <v>4.0711574220858832E-2</v>
      </c>
      <c r="Z19" s="100">
        <f t="shared" si="2"/>
        <v>-0.49819606226162255</v>
      </c>
    </row>
    <row r="20" spans="1:26" x14ac:dyDescent="0.25">
      <c r="T20" s="93" t="s">
        <v>2054</v>
      </c>
      <c r="U20" s="82">
        <v>-60.35</v>
      </c>
      <c r="V20" s="82">
        <v>-94.28</v>
      </c>
      <c r="W20" s="82">
        <v>-74.797799999999995</v>
      </c>
      <c r="X20" s="82">
        <v>-153.14099999999999</v>
      </c>
      <c r="Y20" s="100">
        <f t="shared" si="2"/>
        <v>-0.19315808753733391</v>
      </c>
      <c r="Z20" s="100">
        <f t="shared" si="2"/>
        <v>-0.38435820583645131</v>
      </c>
    </row>
    <row r="21" spans="1:26" x14ac:dyDescent="0.25">
      <c r="A21" s="156" t="s">
        <v>2072</v>
      </c>
      <c r="B21" s="156"/>
      <c r="C21" s="156"/>
      <c r="D21" s="156"/>
      <c r="E21" s="156"/>
      <c r="F21" s="156"/>
      <c r="G21" s="156"/>
      <c r="L21" s="156" t="s">
        <v>2066</v>
      </c>
      <c r="M21" s="156"/>
      <c r="N21" s="156"/>
      <c r="O21" s="156"/>
      <c r="P21" s="156"/>
      <c r="Q21" s="156"/>
      <c r="R21" s="156"/>
    </row>
    <row r="22" spans="1:26" x14ac:dyDescent="0.25">
      <c r="A22" s="83" t="s">
        <v>2036</v>
      </c>
      <c r="B22" s="83" t="s">
        <v>2038</v>
      </c>
      <c r="C22" s="172" t="s">
        <v>2049</v>
      </c>
      <c r="D22" s="173"/>
      <c r="E22" s="83" t="s">
        <v>2050</v>
      </c>
      <c r="F22" s="83" t="s">
        <v>2043</v>
      </c>
      <c r="G22" s="91" t="s">
        <v>2087</v>
      </c>
      <c r="L22" s="83" t="s">
        <v>2036</v>
      </c>
      <c r="M22" s="83" t="s">
        <v>2038</v>
      </c>
      <c r="N22" s="83" t="s">
        <v>2062</v>
      </c>
      <c r="O22" s="83" t="s">
        <v>2063</v>
      </c>
      <c r="P22" s="83" t="s">
        <v>2055</v>
      </c>
      <c r="Q22" s="83" t="s">
        <v>2043</v>
      </c>
      <c r="R22" s="91" t="s">
        <v>2087</v>
      </c>
    </row>
    <row r="23" spans="1:26" x14ac:dyDescent="0.25">
      <c r="A23" s="158" t="s">
        <v>2121</v>
      </c>
      <c r="B23" s="83" t="s">
        <v>2039</v>
      </c>
      <c r="C23" s="174">
        <v>6.25</v>
      </c>
      <c r="D23" s="175"/>
      <c r="E23" s="82">
        <f>$D$2*1000/800</f>
        <v>31.265625</v>
      </c>
      <c r="F23" s="83" t="str">
        <f>IF(ABS(C23)&lt;E23,"OK!","Tidak OK!")</f>
        <v>OK!</v>
      </c>
      <c r="G23" s="98" cm="1">
        <f t="array" ref="G23">ABS(E23/MAX(ABS(C23:D23)))</f>
        <v>5.0025000000000004</v>
      </c>
      <c r="L23" s="158" t="s">
        <v>2121</v>
      </c>
      <c r="M23" s="83" t="s">
        <v>2039</v>
      </c>
      <c r="N23" s="95">
        <f>'Hasil P1 Kuat I'!P2</f>
        <v>252.29</v>
      </c>
      <c r="O23" s="95">
        <f>'Hasil P1 Kuat I'!P3</f>
        <v>-245.69</v>
      </c>
      <c r="P23" s="82">
        <f>0.7*(MIN($O$6:$O$7)+$O$12)</f>
        <v>1085.2003210569083</v>
      </c>
      <c r="Q23" s="82" t="str">
        <f>IF(ABS(N23)&lt;P23,IF(ABS(O23)&lt;P23,"OK!","Tidak OK!"),"Tidak OK!")</f>
        <v>OK!</v>
      </c>
      <c r="R23" s="98" cm="1">
        <f t="array" ref="R23">ABS(P23/MAX(ABS(N23:O23)))</f>
        <v>4.3014004560502128</v>
      </c>
    </row>
    <row r="24" spans="1:26" x14ac:dyDescent="0.25">
      <c r="A24" s="158"/>
      <c r="B24" s="83" t="s">
        <v>2040</v>
      </c>
      <c r="C24" s="174">
        <v>0.74</v>
      </c>
      <c r="D24" s="175"/>
      <c r="E24" s="83">
        <f>$D$6*1000/800</f>
        <v>15</v>
      </c>
      <c r="F24" s="83" t="str">
        <f t="shared" ref="F24:F26" si="3">IF(ABS(C24)&lt;E24,IF(ABS(D24)&lt;E24,"OK!","Tidak OK!"),"Tidak OK!")</f>
        <v>OK!</v>
      </c>
      <c r="G24" s="98" cm="1">
        <f t="array" ref="G24">ABS(E24/MAX(ABS(C24:D24)))</f>
        <v>20.27027027027027</v>
      </c>
      <c r="L24" s="158"/>
      <c r="M24" s="83" t="s">
        <v>2040</v>
      </c>
      <c r="N24" s="95">
        <f>'Hasil P2 Kuat I'!Q2</f>
        <v>107.63</v>
      </c>
      <c r="O24" s="95">
        <f>'Hasil P2 Kuat I'!Q3</f>
        <v>-104.81</v>
      </c>
      <c r="P24" s="82">
        <f>0.7*(MIN($O$10:$O$11)+$O$12)</f>
        <v>1047.945996337043</v>
      </c>
      <c r="Q24" s="82" t="str">
        <f t="shared" ref="Q24:Q26" si="4">IF(ABS(N24)&lt;P24,IF(ABS(O24)&lt;P24,"OK!","Tidak OK!"),"Tidak OK!")</f>
        <v>OK!</v>
      </c>
      <c r="R24" s="98" cm="1">
        <f t="array" ref="R24">ABS(P24/MAX(ABS(N24:O24)))</f>
        <v>9.7365604045065783</v>
      </c>
    </row>
    <row r="25" spans="1:26" x14ac:dyDescent="0.25">
      <c r="A25" s="158" t="s">
        <v>2074</v>
      </c>
      <c r="B25" s="83" t="s">
        <v>2039</v>
      </c>
      <c r="C25" s="170">
        <v>10</v>
      </c>
      <c r="D25" s="171"/>
      <c r="E25" s="82">
        <f>$D$2*1000/800</f>
        <v>31.265625</v>
      </c>
      <c r="F25" s="83" t="str">
        <f t="shared" si="3"/>
        <v>OK!</v>
      </c>
      <c r="G25" s="98" cm="1">
        <f t="array" ref="G25">ABS(E25/MAX(ABS(C25:D25)))</f>
        <v>3.1265624999999999</v>
      </c>
      <c r="L25" s="158" t="s">
        <v>2074</v>
      </c>
      <c r="M25" s="83" t="s">
        <v>2039</v>
      </c>
      <c r="N25" s="170">
        <v>228.78</v>
      </c>
      <c r="O25" s="171"/>
      <c r="P25" s="82">
        <f>0.7*(MIN($O$6:$O$7)+$O$12)</f>
        <v>1085.2003210569083</v>
      </c>
      <c r="Q25" s="82" t="str">
        <f t="shared" si="4"/>
        <v>OK!</v>
      </c>
      <c r="R25" s="98" cm="1">
        <f t="array" ref="R25">ABS(P25/MAX(ABS(N25:O25)))</f>
        <v>4.7434230311080876</v>
      </c>
    </row>
    <row r="26" spans="1:26" x14ac:dyDescent="0.25">
      <c r="A26" s="158"/>
      <c r="B26" s="83" t="s">
        <v>2040</v>
      </c>
      <c r="C26" s="167">
        <v>1.47</v>
      </c>
      <c r="D26" s="168"/>
      <c r="E26" s="83">
        <f>$D$6*1000/800</f>
        <v>15</v>
      </c>
      <c r="F26" s="83" t="str">
        <f t="shared" si="3"/>
        <v>OK!</v>
      </c>
      <c r="G26" s="98" cm="1">
        <f t="array" ref="G26">ABS(E26/MAX(ABS(C26:D26)))</f>
        <v>10.204081632653061</v>
      </c>
      <c r="L26" s="158"/>
      <c r="M26" s="83" t="s">
        <v>2040</v>
      </c>
      <c r="N26" s="167">
        <v>182.72</v>
      </c>
      <c r="O26" s="168"/>
      <c r="P26" s="82">
        <f>0.7*(MIN($O$10:$O$11)+$O$12)</f>
        <v>1047.945996337043</v>
      </c>
      <c r="Q26" s="82" t="str">
        <f t="shared" si="4"/>
        <v>OK!</v>
      </c>
      <c r="R26" s="98" cm="1">
        <f t="array" ref="R26">ABS(P26/MAX(ABS(N26:O26)))</f>
        <v>5.7352561095503667</v>
      </c>
    </row>
  </sheetData>
  <mergeCells count="30">
    <mergeCell ref="N25:O25"/>
    <mergeCell ref="N26:O26"/>
    <mergeCell ref="C22:D22"/>
    <mergeCell ref="A14:G14"/>
    <mergeCell ref="A21:G21"/>
    <mergeCell ref="L21:R21"/>
    <mergeCell ref="A23:A24"/>
    <mergeCell ref="C23:D23"/>
    <mergeCell ref="L23:L24"/>
    <mergeCell ref="C24:D24"/>
    <mergeCell ref="A25:A26"/>
    <mergeCell ref="C25:D25"/>
    <mergeCell ref="L25:L26"/>
    <mergeCell ref="C26:D26"/>
    <mergeCell ref="A16:A17"/>
    <mergeCell ref="L16:L17"/>
    <mergeCell ref="A18:A19"/>
    <mergeCell ref="L18:L19"/>
    <mergeCell ref="C18:D18"/>
    <mergeCell ref="C19:D19"/>
    <mergeCell ref="A2:A5"/>
    <mergeCell ref="L4:L7"/>
    <mergeCell ref="A6:A9"/>
    <mergeCell ref="L8:L11"/>
    <mergeCell ref="L14:Q14"/>
    <mergeCell ref="T14:Z14"/>
    <mergeCell ref="T15:T16"/>
    <mergeCell ref="U15:V15"/>
    <mergeCell ref="W15:X15"/>
    <mergeCell ref="Y15:Z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B3C1-36E5-449A-9F62-CC9068A8F166}">
  <sheetPr codeName="Sheet11"/>
  <dimension ref="A1:AE43"/>
  <sheetViews>
    <sheetView tabSelected="1" topLeftCell="A31" zoomScale="85" zoomScaleNormal="85" workbookViewId="0">
      <selection activeCell="O51" sqref="O51"/>
    </sheetView>
  </sheetViews>
  <sheetFormatPr defaultRowHeight="15" x14ac:dyDescent="0.25"/>
  <cols>
    <col min="1" max="1" width="11" style="68" bestFit="1" customWidth="1"/>
    <col min="2" max="2" width="12" style="68" bestFit="1" customWidth="1"/>
    <col min="3" max="4" width="9.140625" style="68"/>
    <col min="5" max="5" width="9.85546875" style="68" bestFit="1" customWidth="1"/>
    <col min="6" max="6" width="12.140625" style="68" customWidth="1"/>
    <col min="7" max="16" width="9.140625" style="68"/>
    <col min="17" max="17" width="10.5703125" style="68" customWidth="1"/>
    <col min="18" max="18" width="12" style="68" bestFit="1" customWidth="1"/>
    <col min="19" max="20" width="9.140625" style="68"/>
    <col min="21" max="22" width="11.42578125" style="68" customWidth="1"/>
    <col min="23" max="24" width="9.140625" style="68"/>
    <col min="25" max="25" width="11.42578125" style="68" bestFit="1" customWidth="1"/>
    <col min="26" max="26" width="12" style="68" bestFit="1" customWidth="1"/>
    <col min="27" max="27" width="9.140625" style="68"/>
    <col min="28" max="28" width="12" style="68" bestFit="1" customWidth="1"/>
    <col min="29" max="16384" width="9.140625" style="68"/>
  </cols>
  <sheetData>
    <row r="1" spans="1:31" x14ac:dyDescent="0.25">
      <c r="R1" s="102" t="s">
        <v>2057</v>
      </c>
      <c r="S1" s="102" t="s">
        <v>52</v>
      </c>
      <c r="T1" s="102">
        <v>30</v>
      </c>
      <c r="U1" s="54" t="s">
        <v>110</v>
      </c>
    </row>
    <row r="2" spans="1:31" x14ac:dyDescent="0.25">
      <c r="A2" s="169" t="s">
        <v>2039</v>
      </c>
      <c r="B2" s="102" t="s">
        <v>2044</v>
      </c>
      <c r="C2" s="102" t="s">
        <v>52</v>
      </c>
      <c r="D2" s="53">
        <v>25.012499999999999</v>
      </c>
      <c r="E2" s="68" t="s">
        <v>3</v>
      </c>
      <c r="R2" s="102" t="s">
        <v>2058</v>
      </c>
      <c r="S2" s="102" t="s">
        <v>52</v>
      </c>
      <c r="T2" s="102">
        <v>245</v>
      </c>
      <c r="U2" s="54" t="s">
        <v>110</v>
      </c>
      <c r="V2" s="102"/>
    </row>
    <row r="3" spans="1:31" x14ac:dyDescent="0.25">
      <c r="A3" s="169"/>
      <c r="B3" s="102" t="s">
        <v>2045</v>
      </c>
      <c r="C3" s="102" t="s">
        <v>52</v>
      </c>
      <c r="D3" s="51">
        <f>MAX(H11:H12)</f>
        <v>47.74118398125924</v>
      </c>
      <c r="R3" s="43" t="s">
        <v>2060</v>
      </c>
      <c r="S3" s="102" t="s">
        <v>52</v>
      </c>
      <c r="T3" s="102">
        <f>('Kapasitas P1 Komposit'!L13+'Kapasitas P1 Komposit'!L14)/'Kapasitas P1 Komposit'!L12</f>
        <v>1.4979243322528655E-2</v>
      </c>
      <c r="V3" s="102"/>
    </row>
    <row r="4" spans="1:31" x14ac:dyDescent="0.25">
      <c r="A4" s="169"/>
      <c r="B4" s="102" t="s">
        <v>2046</v>
      </c>
      <c r="C4" s="102" t="s">
        <v>52</v>
      </c>
      <c r="D4" s="51">
        <f>D2*1000/D3</f>
        <v>523.91871994248481</v>
      </c>
      <c r="Q4" s="169" t="s">
        <v>2039</v>
      </c>
      <c r="R4" s="102" t="s">
        <v>2061</v>
      </c>
      <c r="S4" s="102" t="s">
        <v>52</v>
      </c>
      <c r="T4" s="86">
        <f>'Hasil P1 Kuat I'!H2*0.35/'Hasil P1 Kuat I'!J2</f>
        <v>0.3635302593659942</v>
      </c>
      <c r="U4" s="54"/>
      <c r="V4" s="102">
        <f>(0.3*SQRT(T1)*776*350)/1000</f>
        <v>446.28433985520934</v>
      </c>
      <c r="W4" s="139" t="s">
        <v>2119</v>
      </c>
      <c r="X4" s="139" t="s">
        <v>52</v>
      </c>
      <c r="Y4" s="107">
        <f>(0.6*'Kapasitas P1 Komposit'!$G$6*'Kapasitas P1 Komposit'!L13)/1000</f>
        <v>622.65738075618981</v>
      </c>
      <c r="Z4" s="106" t="s">
        <v>89</v>
      </c>
    </row>
    <row r="5" spans="1:31" x14ac:dyDescent="0.25">
      <c r="A5" s="169"/>
      <c r="B5" s="102" t="s">
        <v>2047</v>
      </c>
      <c r="C5" s="102" t="s">
        <v>52</v>
      </c>
      <c r="D5" s="51">
        <f>(34*10^6)/D4^2</f>
        <v>123.86570657452376</v>
      </c>
      <c r="E5" s="68" t="s">
        <v>110</v>
      </c>
      <c r="Q5" s="169"/>
      <c r="R5" s="102" t="s">
        <v>2065</v>
      </c>
      <c r="S5" s="102" t="s">
        <v>52</v>
      </c>
      <c r="T5" s="86">
        <f>'Hasil P1 Kuat I'!N2*1000/'Kapasitas P1 Komposit'!L12</f>
        <v>1.9890648011782033</v>
      </c>
      <c r="U5" s="68" t="s">
        <v>110</v>
      </c>
      <c r="V5" s="102"/>
      <c r="W5" s="139" t="s">
        <v>2120</v>
      </c>
      <c r="X5" s="139" t="s">
        <v>52</v>
      </c>
      <c r="Y5" s="107">
        <f>(0.6*'Kapasitas P1 Komposit'!$G$6*'Kapasitas P1 Komposit'!L14)/1000</f>
        <v>329.33944106112517</v>
      </c>
      <c r="Z5" s="106" t="s">
        <v>89</v>
      </c>
    </row>
    <row r="6" spans="1:31" x14ac:dyDescent="0.25">
      <c r="A6" s="169" t="s">
        <v>2040</v>
      </c>
      <c r="B6" s="102" t="s">
        <v>2044</v>
      </c>
      <c r="C6" s="102" t="s">
        <v>52</v>
      </c>
      <c r="D6" s="53">
        <v>12</v>
      </c>
      <c r="E6" s="68" t="s">
        <v>3</v>
      </c>
      <c r="Q6" s="169"/>
      <c r="R6" s="102" t="s">
        <v>2059</v>
      </c>
      <c r="S6" s="102" t="s">
        <v>52</v>
      </c>
      <c r="T6" s="87">
        <f>((SQRT(T1)+120*T3*T4)*776*350/7)/1000</f>
        <v>237.87017293844042</v>
      </c>
      <c r="U6" s="54" t="s">
        <v>89</v>
      </c>
      <c r="V6" s="102"/>
      <c r="W6" s="103" t="s">
        <v>2118</v>
      </c>
      <c r="X6" s="103" t="s">
        <v>52</v>
      </c>
      <c r="Y6" s="107">
        <f>(0.6*'Kapasitas P1 Komposit'!L15*'Kapasitas P1 Komposit'!G16)/1000</f>
        <v>1312.4159999999999</v>
      </c>
      <c r="Z6" s="106" t="s">
        <v>89</v>
      </c>
    </row>
    <row r="7" spans="1:31" x14ac:dyDescent="0.25">
      <c r="A7" s="169"/>
      <c r="B7" s="102" t="s">
        <v>2045</v>
      </c>
      <c r="C7" s="102" t="s">
        <v>52</v>
      </c>
      <c r="D7" s="51">
        <f>MAX(H11:H12)</f>
        <v>47.74118398125924</v>
      </c>
      <c r="Q7" s="169"/>
      <c r="R7" s="102" t="s">
        <v>2064</v>
      </c>
      <c r="S7" s="102" t="s">
        <v>52</v>
      </c>
      <c r="T7" s="87">
        <f>((1+0.3*T5)*SQRT(T1)/6*776*350)/1000</f>
        <v>395.88382298451313</v>
      </c>
      <c r="U7" s="54" t="s">
        <v>89</v>
      </c>
      <c r="V7" s="102"/>
    </row>
    <row r="8" spans="1:31" x14ac:dyDescent="0.25">
      <c r="A8" s="169"/>
      <c r="B8" s="102" t="s">
        <v>2046</v>
      </c>
      <c r="C8" s="102" t="s">
        <v>52</v>
      </c>
      <c r="D8" s="51">
        <f>D6*1000/D7</f>
        <v>251.35530791843348</v>
      </c>
      <c r="Q8" s="169" t="s">
        <v>2040</v>
      </c>
      <c r="R8" s="102" t="s">
        <v>2061</v>
      </c>
      <c r="S8" s="102" t="s">
        <v>52</v>
      </c>
      <c r="T8" s="86">
        <f>'Hasil P2 Kuat I'!I2*0.3/'Hasil P2 Kuat I'!K2</f>
        <v>-0.34247984726347047</v>
      </c>
      <c r="U8" s="54"/>
      <c r="V8" s="102"/>
    </row>
    <row r="9" spans="1:31" x14ac:dyDescent="0.25">
      <c r="A9" s="169"/>
      <c r="B9" s="102" t="s">
        <v>2047</v>
      </c>
      <c r="C9" s="102" t="s">
        <v>52</v>
      </c>
      <c r="D9" s="51">
        <v>245</v>
      </c>
      <c r="E9" s="68" t="s">
        <v>110</v>
      </c>
      <c r="Q9" s="169"/>
      <c r="R9" s="102" t="s">
        <v>2065</v>
      </c>
      <c r="S9" s="102" t="s">
        <v>52</v>
      </c>
      <c r="T9" s="86">
        <f>'Hasil P2 Kuat I'!O2*1000/'Kapasitas P2'!L12</f>
        <v>1.8224656357388316</v>
      </c>
      <c r="U9" s="68" t="s">
        <v>110</v>
      </c>
      <c r="W9" s="103" t="s">
        <v>2119</v>
      </c>
      <c r="X9" s="103" t="s">
        <v>52</v>
      </c>
      <c r="Y9" s="107">
        <f>(0.6*'Kapasitas P2'!L13*'Kapasitas P2'!G6)/1000</f>
        <v>355.80421757496561</v>
      </c>
      <c r="Z9" s="106" t="s">
        <v>89</v>
      </c>
    </row>
    <row r="10" spans="1:31" x14ac:dyDescent="0.25">
      <c r="B10" s="102" t="s">
        <v>2093</v>
      </c>
      <c r="C10" s="102" t="s">
        <v>52</v>
      </c>
      <c r="D10" s="68">
        <v>298913</v>
      </c>
      <c r="E10" s="68" t="s">
        <v>2097</v>
      </c>
      <c r="Q10" s="169"/>
      <c r="R10" s="102" t="s">
        <v>2059</v>
      </c>
      <c r="S10" s="102" t="s">
        <v>52</v>
      </c>
      <c r="T10" s="87">
        <f>((SQRT(T1)+120*'Kapasitas P2'!G21*T8)*776*300/7)/1000</f>
        <v>164.30254753618362</v>
      </c>
      <c r="U10" s="54" t="s">
        <v>89</v>
      </c>
      <c r="W10" s="103" t="s">
        <v>2120</v>
      </c>
      <c r="X10" s="103" t="s">
        <v>52</v>
      </c>
      <c r="Y10" s="107">
        <f>(0.6*'Kapasitas P2'!L14*'Kapasitas P2'!G6)/1000</f>
        <v>355.80421757496561</v>
      </c>
      <c r="Z10" s="106" t="s">
        <v>89</v>
      </c>
    </row>
    <row r="11" spans="1:31" x14ac:dyDescent="0.25">
      <c r="B11" s="102" t="s">
        <v>2094</v>
      </c>
      <c r="C11" s="102" t="s">
        <v>52</v>
      </c>
      <c r="D11" s="68">
        <v>20291400</v>
      </c>
      <c r="E11" s="68" t="s">
        <v>2097</v>
      </c>
      <c r="F11" s="68" t="s">
        <v>2095</v>
      </c>
      <c r="G11" s="68" t="s">
        <v>52</v>
      </c>
      <c r="H11" s="51">
        <f>SQRT(D10/$D$12)</f>
        <v>5.7944147926543002</v>
      </c>
      <c r="I11" s="68" t="s">
        <v>63</v>
      </c>
      <c r="Q11" s="169"/>
      <c r="R11" s="102" t="s">
        <v>2064</v>
      </c>
      <c r="S11" s="102" t="s">
        <v>52</v>
      </c>
      <c r="T11" s="87">
        <f>((1+0.3*T9)*SQRT(T1)/6*776*300)/1000</f>
        <v>328.70747704836282</v>
      </c>
      <c r="U11" s="54" t="s">
        <v>89</v>
      </c>
    </row>
    <row r="12" spans="1:31" x14ac:dyDescent="0.25">
      <c r="B12" s="102" t="s">
        <v>11</v>
      </c>
      <c r="C12" s="102" t="s">
        <v>52</v>
      </c>
      <c r="D12" s="68">
        <v>8902.7800000000007</v>
      </c>
      <c r="E12" s="68" t="s">
        <v>176</v>
      </c>
      <c r="F12" s="68" t="s">
        <v>2096</v>
      </c>
      <c r="G12" s="68" t="s">
        <v>52</v>
      </c>
      <c r="H12" s="51">
        <f>SQRT(D11/$D$12)</f>
        <v>47.74118398125924</v>
      </c>
      <c r="I12" s="68" t="s">
        <v>63</v>
      </c>
      <c r="Q12" s="103"/>
      <c r="R12" s="102"/>
      <c r="S12" s="102"/>
      <c r="U12" s="54"/>
      <c r="V12" s="102"/>
    </row>
    <row r="13" spans="1:31" x14ac:dyDescent="0.25">
      <c r="H13" s="51"/>
      <c r="AD13" s="185">
        <f>AVERAGE(AD18:AD20)</f>
        <v>-0.21077325235472896</v>
      </c>
      <c r="AE13" s="185">
        <f>AVERAGE(AE18:AE20)</f>
        <v>-0.26024612368727046</v>
      </c>
    </row>
    <row r="14" spans="1:31" x14ac:dyDescent="0.25">
      <c r="A14" s="156" t="s">
        <v>2071</v>
      </c>
      <c r="B14" s="156"/>
      <c r="C14" s="156"/>
      <c r="D14" s="156"/>
      <c r="E14" s="156"/>
      <c r="F14" s="156"/>
      <c r="G14" s="156"/>
      <c r="I14" s="1" t="str">
        <f>A16</f>
        <v>P1</v>
      </c>
      <c r="J14" s="95" t="str">
        <f>$C$15</f>
        <v>σ max</v>
      </c>
      <c r="K14" s="95" t="str">
        <f>$E$15</f>
        <v>σ izin</v>
      </c>
      <c r="L14" s="108"/>
      <c r="M14" s="1" t="str">
        <f>A18</f>
        <v>P2</v>
      </c>
      <c r="N14" s="95" t="str">
        <f>$C$15</f>
        <v>σ max</v>
      </c>
      <c r="O14" s="95" t="str">
        <f>$E$15</f>
        <v>σ izin</v>
      </c>
      <c r="Q14" s="156" t="s">
        <v>2101</v>
      </c>
      <c r="R14" s="156"/>
      <c r="S14" s="156"/>
      <c r="T14" s="156"/>
      <c r="U14" s="156"/>
      <c r="V14" s="156"/>
      <c r="Y14" s="156" t="s">
        <v>2101</v>
      </c>
      <c r="Z14" s="156"/>
      <c r="AA14" s="156"/>
      <c r="AB14" s="156"/>
      <c r="AC14" s="156"/>
      <c r="AD14" s="156"/>
      <c r="AE14" s="156"/>
    </row>
    <row r="15" spans="1:31" ht="15" customHeight="1" x14ac:dyDescent="0.25">
      <c r="A15" s="101" t="s">
        <v>2038</v>
      </c>
      <c r="B15" s="101" t="s">
        <v>2036</v>
      </c>
      <c r="C15" s="101" t="s">
        <v>2041</v>
      </c>
      <c r="D15" s="101" t="s">
        <v>2042</v>
      </c>
      <c r="E15" s="101" t="s">
        <v>2075</v>
      </c>
      <c r="F15" s="101" t="s">
        <v>2043</v>
      </c>
      <c r="G15" s="101" t="s">
        <v>2087</v>
      </c>
      <c r="I15" s="95"/>
      <c r="J15" s="1"/>
      <c r="K15" s="109">
        <f>K16</f>
        <v>13.5</v>
      </c>
      <c r="L15" s="110"/>
      <c r="M15" s="95"/>
      <c r="N15" s="1"/>
      <c r="O15" s="109">
        <f>O16</f>
        <v>13.5</v>
      </c>
      <c r="Q15" s="101" t="s">
        <v>2038</v>
      </c>
      <c r="R15" s="101" t="s">
        <v>2036</v>
      </c>
      <c r="S15" s="101" t="s">
        <v>2052</v>
      </c>
      <c r="T15" s="101" t="s">
        <v>2051</v>
      </c>
      <c r="U15" s="101" t="s">
        <v>2053</v>
      </c>
      <c r="V15" s="101" t="s">
        <v>2054</v>
      </c>
      <c r="Y15" s="161" t="s">
        <v>2098</v>
      </c>
      <c r="Z15" s="163" t="s">
        <v>2039</v>
      </c>
      <c r="AA15" s="164"/>
      <c r="AB15" s="165" t="s">
        <v>2040</v>
      </c>
      <c r="AC15" s="166"/>
      <c r="AD15" s="156" t="s">
        <v>2099</v>
      </c>
      <c r="AE15" s="156"/>
    </row>
    <row r="16" spans="1:31" x14ac:dyDescent="0.25">
      <c r="A16" s="158" t="s">
        <v>2039</v>
      </c>
      <c r="B16" s="101" t="s">
        <v>2074</v>
      </c>
      <c r="C16" s="167">
        <v>5.47</v>
      </c>
      <c r="D16" s="168"/>
      <c r="E16" s="82">
        <f>0.45*$T$1</f>
        <v>13.5</v>
      </c>
      <c r="F16" s="101" t="str">
        <f>IF(ABS(D16)&lt;E16,IF(ABS(C16)&lt;E16,"OK!","Tidak OK!"),"Tidak OK!")</f>
        <v>OK!</v>
      </c>
      <c r="G16" s="98" cm="1">
        <f t="array" ref="G16">ABS(E16/MAX(ABS(C16:D16)))</f>
        <v>2.4680073126142599</v>
      </c>
      <c r="I16" s="1" t="str">
        <f>B16</f>
        <v>Perencanaan</v>
      </c>
      <c r="J16" s="1" cm="1">
        <f t="array" ref="J16">MAX(ABS(C16:D16))</f>
        <v>5.47</v>
      </c>
      <c r="K16" s="109">
        <f>E16</f>
        <v>13.5</v>
      </c>
      <c r="L16" s="110"/>
      <c r="M16" s="1" t="str">
        <f>B18</f>
        <v>Perencanaan</v>
      </c>
      <c r="N16" s="1">
        <f>C18</f>
        <v>7.75</v>
      </c>
      <c r="O16" s="109">
        <f>E18</f>
        <v>13.5</v>
      </c>
      <c r="Q16" s="158" t="s">
        <v>2039</v>
      </c>
      <c r="R16" s="101" t="s">
        <v>2074</v>
      </c>
      <c r="S16" s="104">
        <v>0</v>
      </c>
      <c r="T16" s="90">
        <v>-1666.19</v>
      </c>
      <c r="U16" s="134">
        <v>233.398</v>
      </c>
      <c r="V16" s="134">
        <v>-74.797799999999995</v>
      </c>
      <c r="Y16" s="162"/>
      <c r="Z16" s="101" t="s">
        <v>2074</v>
      </c>
      <c r="AA16" s="101" t="s">
        <v>2121</v>
      </c>
      <c r="AB16" s="101" t="s">
        <v>2074</v>
      </c>
      <c r="AC16" s="101" t="s">
        <v>2121</v>
      </c>
      <c r="AD16" s="101" t="s">
        <v>2039</v>
      </c>
      <c r="AE16" s="101" t="s">
        <v>2040</v>
      </c>
    </row>
    <row r="17" spans="1:31" x14ac:dyDescent="0.25">
      <c r="A17" s="158"/>
      <c r="B17" s="101" t="s">
        <v>2121</v>
      </c>
      <c r="C17" s="95">
        <v>1.29</v>
      </c>
      <c r="D17" s="95">
        <v>-8.84</v>
      </c>
      <c r="E17" s="82">
        <f t="shared" ref="E17:E19" si="0">0.45*$T$1</f>
        <v>13.5</v>
      </c>
      <c r="F17" s="101" t="str">
        <f>IF(ABS(D17)&lt;E17,IF(ABS(C17)&lt;E17,"OK!","Tidak OK!"),"Tidak OK!")</f>
        <v>OK!</v>
      </c>
      <c r="G17" s="98" cm="1">
        <f t="array" ref="G17">ABS(E17/MAX(ABS(C17:D17)))</f>
        <v>1.5271493212669685</v>
      </c>
      <c r="I17" s="1"/>
      <c r="J17" s="1"/>
      <c r="K17" s="109">
        <f>E17</f>
        <v>13.5</v>
      </c>
      <c r="L17" s="110"/>
      <c r="M17" s="1"/>
      <c r="N17" s="1"/>
      <c r="O17" s="109">
        <f>E19</f>
        <v>13.5</v>
      </c>
      <c r="Q17" s="158"/>
      <c r="R17" s="101" t="s">
        <v>2121</v>
      </c>
      <c r="S17" s="95">
        <f>'Hasil P1 Kuat I'!N2</f>
        <v>540.23</v>
      </c>
      <c r="T17" s="96">
        <f>'Hasil P1 Kuat I'!N3</f>
        <v>-866.63</v>
      </c>
      <c r="U17" s="135">
        <f>'Hasil P1 Kuat I'!O2</f>
        <v>242.9</v>
      </c>
      <c r="V17" s="134">
        <f>'Hasil P1 Kuat I'!O3</f>
        <v>-60.35</v>
      </c>
      <c r="Y17" s="101" t="s">
        <v>2052</v>
      </c>
      <c r="Z17" s="101">
        <f t="array" ref="Z17:AC20">TRANSPOSE(S16:V19)</f>
        <v>0</v>
      </c>
      <c r="AA17" s="101">
        <v>540.23</v>
      </c>
      <c r="AB17" s="101">
        <v>0</v>
      </c>
      <c r="AC17" s="101">
        <v>424.27</v>
      </c>
      <c r="AD17" s="101" t="s">
        <v>93</v>
      </c>
      <c r="AE17" s="101" t="s">
        <v>93</v>
      </c>
    </row>
    <row r="18" spans="1:31" x14ac:dyDescent="0.25">
      <c r="A18" s="158" t="s">
        <v>2040</v>
      </c>
      <c r="B18" s="101" t="s">
        <v>2074</v>
      </c>
      <c r="C18" s="167">
        <v>7.75</v>
      </c>
      <c r="D18" s="168"/>
      <c r="E18" s="82">
        <f t="shared" si="0"/>
        <v>13.5</v>
      </c>
      <c r="F18" s="101" t="str">
        <f t="shared" ref="F18:F19" si="1">IF(ABS(D18)&lt;E18,IF(ABS(C18)&lt;E18,"OK!","Tidak OK!"),"Tidak OK!")</f>
        <v>OK!</v>
      </c>
      <c r="G18" s="98" cm="1">
        <f t="array" ref="G18">ABS(E18/MAX(ABS(C18:D18)))</f>
        <v>1.7419354838709677</v>
      </c>
      <c r="I18" s="1" t="str">
        <f>B17</f>
        <v>Evaluasi</v>
      </c>
      <c r="J18" s="1" cm="1">
        <f t="array" ref="J18">MAX(ABS(C17:D17))</f>
        <v>8.84</v>
      </c>
      <c r="K18" s="109">
        <f>K17</f>
        <v>13.5</v>
      </c>
      <c r="L18" s="110"/>
      <c r="M18" s="1" t="str">
        <f>B19</f>
        <v>Evaluasi</v>
      </c>
      <c r="N18" s="1" cm="1">
        <f t="array" ref="N18">MAX(ABS(C19:D19))</f>
        <v>7.82</v>
      </c>
      <c r="O18" s="109">
        <f>O17</f>
        <v>13.5</v>
      </c>
      <c r="Q18" s="158" t="s">
        <v>2040</v>
      </c>
      <c r="R18" s="101" t="s">
        <v>2074</v>
      </c>
      <c r="S18" s="99">
        <v>0</v>
      </c>
      <c r="T18" s="90">
        <v>-900.822</v>
      </c>
      <c r="U18" s="134">
        <v>97.01</v>
      </c>
      <c r="V18" s="134">
        <v>-153.14099999999999</v>
      </c>
      <c r="Y18" s="101" t="s">
        <v>2051</v>
      </c>
      <c r="Z18" s="101">
        <v>-1666.19</v>
      </c>
      <c r="AA18" s="101">
        <v>-866.63</v>
      </c>
      <c r="AB18" s="101">
        <v>-900.822</v>
      </c>
      <c r="AC18" s="101">
        <v>-992.54</v>
      </c>
      <c r="AD18" s="100">
        <f>(AA18-Z18)/Z18</f>
        <v>-0.47987324374771184</v>
      </c>
      <c r="AE18" s="100">
        <f>(AC18-AB18)/AB18</f>
        <v>0.1018158970362624</v>
      </c>
    </row>
    <row r="19" spans="1:31" x14ac:dyDescent="0.25">
      <c r="A19" s="158"/>
      <c r="B19" s="101" t="s">
        <v>2121</v>
      </c>
      <c r="C19" s="95">
        <v>5.97</v>
      </c>
      <c r="D19" s="95">
        <v>-7.82</v>
      </c>
      <c r="E19" s="82">
        <f t="shared" si="0"/>
        <v>13.5</v>
      </c>
      <c r="F19" s="101" t="str">
        <f t="shared" si="1"/>
        <v>OK!</v>
      </c>
      <c r="G19" s="98" cm="1">
        <f t="array" ref="G19">ABS(E19/MAX(ABS(C19:D19)))</f>
        <v>1.7263427109974423</v>
      </c>
      <c r="J19" s="51"/>
      <c r="K19" s="51"/>
      <c r="L19" s="51"/>
      <c r="M19" s="51"/>
      <c r="N19" s="51"/>
      <c r="O19" s="51"/>
      <c r="Q19" s="158"/>
      <c r="R19" s="101" t="s">
        <v>2121</v>
      </c>
      <c r="S19" s="99">
        <f>'Hasil P2 Kuat I'!O2</f>
        <v>424.27</v>
      </c>
      <c r="T19" s="90">
        <f>'Hasil P2 Kuat I'!O3</f>
        <v>-992.54</v>
      </c>
      <c r="U19" s="134">
        <f>'Hasil P2 Kuat I'!P2</f>
        <v>48.68</v>
      </c>
      <c r="V19" s="134">
        <f>'Hasil P2 Kuat I'!P3</f>
        <v>-94.28</v>
      </c>
      <c r="Y19" s="101" t="s">
        <v>2053</v>
      </c>
      <c r="Z19" s="82">
        <v>233.398</v>
      </c>
      <c r="AA19" s="82">
        <v>242.9</v>
      </c>
      <c r="AB19" s="82">
        <v>97.01</v>
      </c>
      <c r="AC19" s="82">
        <v>48.68</v>
      </c>
      <c r="AD19" s="100">
        <f t="shared" ref="AD19:AD20" si="2">(AA19-Z19)/Z19</f>
        <v>4.0711574220858832E-2</v>
      </c>
      <c r="AE19" s="100">
        <f t="shared" ref="AE19:AE20" si="3">(AC19-AB19)/AB19</f>
        <v>-0.49819606226162255</v>
      </c>
    </row>
    <row r="20" spans="1:31" x14ac:dyDescent="0.25">
      <c r="L20" s="108"/>
      <c r="M20" s="108"/>
      <c r="N20" s="108"/>
      <c r="O20" s="108"/>
      <c r="Y20" s="101" t="s">
        <v>2054</v>
      </c>
      <c r="Z20" s="82">
        <v>-74.797799999999995</v>
      </c>
      <c r="AA20" s="82">
        <v>-60.35</v>
      </c>
      <c r="AB20" s="82">
        <v>-153.14099999999999</v>
      </c>
      <c r="AC20" s="82">
        <v>-94.28</v>
      </c>
      <c r="AD20" s="100">
        <f t="shared" si="2"/>
        <v>-0.19315808753733391</v>
      </c>
      <c r="AE20" s="100">
        <f t="shared" si="3"/>
        <v>-0.38435820583645131</v>
      </c>
    </row>
    <row r="21" spans="1:31" x14ac:dyDescent="0.25">
      <c r="L21" s="110"/>
      <c r="M21" s="110"/>
      <c r="N21" s="110"/>
      <c r="O21" s="110"/>
    </row>
    <row r="22" spans="1:31" x14ac:dyDescent="0.25">
      <c r="L22" s="110"/>
      <c r="M22" s="110"/>
      <c r="N22" s="110"/>
      <c r="O22" s="110"/>
    </row>
    <row r="23" spans="1:31" x14ac:dyDescent="0.25">
      <c r="L23" s="110"/>
      <c r="M23" s="110"/>
      <c r="N23" s="110"/>
      <c r="O23" s="110"/>
    </row>
    <row r="24" spans="1:31" x14ac:dyDescent="0.25">
      <c r="L24" s="110"/>
      <c r="M24" s="110"/>
      <c r="N24" s="110"/>
      <c r="O24" s="110"/>
    </row>
    <row r="37" spans="1:31" x14ac:dyDescent="0.25">
      <c r="A37" s="156" t="s">
        <v>2072</v>
      </c>
      <c r="B37" s="156"/>
      <c r="C37" s="156"/>
      <c r="D37" s="156"/>
      <c r="E37" s="156"/>
      <c r="F37" s="156"/>
      <c r="G37" s="156"/>
      <c r="I37" s="1" t="str">
        <f>A39</f>
        <v>P1</v>
      </c>
      <c r="J37" s="95" t="str">
        <f>$C$38</f>
        <v>δ max</v>
      </c>
      <c r="K37" s="95" t="str">
        <f>$E$38</f>
        <v>δ izin</v>
      </c>
      <c r="M37" s="1" t="str">
        <f>A41</f>
        <v>P2</v>
      </c>
      <c r="N37" s="95" t="str">
        <f>$C$38</f>
        <v>δ max</v>
      </c>
      <c r="O37" s="95" t="str">
        <f>$E$38</f>
        <v>δ izin</v>
      </c>
      <c r="Q37" s="156" t="s">
        <v>2066</v>
      </c>
      <c r="R37" s="156"/>
      <c r="S37" s="156"/>
      <c r="T37" s="156"/>
      <c r="U37" s="156"/>
      <c r="V37" s="156"/>
      <c r="W37" s="156"/>
      <c r="Y37" s="1" t="str">
        <f>Q39</f>
        <v>P1</v>
      </c>
      <c r="Z37" s="95" t="s">
        <v>2122</v>
      </c>
      <c r="AA37" s="95" t="s">
        <v>2128</v>
      </c>
      <c r="AC37" s="1" t="str">
        <f>Q41</f>
        <v>P2</v>
      </c>
      <c r="AD37" s="95" t="s">
        <v>2122</v>
      </c>
      <c r="AE37" s="95" t="s">
        <v>2128</v>
      </c>
    </row>
    <row r="38" spans="1:31" x14ac:dyDescent="0.25">
      <c r="A38" s="101" t="s">
        <v>2038</v>
      </c>
      <c r="B38" s="101" t="s">
        <v>2036</v>
      </c>
      <c r="C38" s="188" t="s">
        <v>2049</v>
      </c>
      <c r="D38" s="188" t="s">
        <v>2099</v>
      </c>
      <c r="E38" s="101" t="s">
        <v>2050</v>
      </c>
      <c r="F38" s="101" t="s">
        <v>2043</v>
      </c>
      <c r="G38" s="101" t="s">
        <v>2087</v>
      </c>
      <c r="I38" s="95"/>
      <c r="J38" s="1"/>
      <c r="K38" s="109">
        <f>K39</f>
        <v>31.265625</v>
      </c>
      <c r="M38" s="95"/>
      <c r="N38" s="1"/>
      <c r="O38" s="109">
        <f>O39</f>
        <v>15</v>
      </c>
      <c r="Q38" s="101" t="s">
        <v>2038</v>
      </c>
      <c r="R38" s="101" t="s">
        <v>2036</v>
      </c>
      <c r="S38" s="101" t="s">
        <v>2062</v>
      </c>
      <c r="T38" s="101" t="s">
        <v>2063</v>
      </c>
      <c r="U38" s="101" t="s">
        <v>2055</v>
      </c>
      <c r="V38" s="101" t="s">
        <v>2043</v>
      </c>
      <c r="W38" s="101" t="s">
        <v>2087</v>
      </c>
      <c r="Y38" s="95"/>
      <c r="Z38" s="1"/>
      <c r="AA38" s="109">
        <f>AA39</f>
        <v>1751.598096329029</v>
      </c>
      <c r="AC38" s="95"/>
      <c r="AD38" s="1"/>
      <c r="AE38" s="109">
        <f>AE39</f>
        <v>613.1376878802804</v>
      </c>
    </row>
    <row r="39" spans="1:31" x14ac:dyDescent="0.25">
      <c r="A39" s="158" t="s">
        <v>2039</v>
      </c>
      <c r="B39" s="101" t="s">
        <v>2074</v>
      </c>
      <c r="C39" s="189">
        <v>10</v>
      </c>
      <c r="D39" s="192">
        <f>(C40-C39)/C39</f>
        <v>-0.375</v>
      </c>
      <c r="E39" s="82">
        <f>$D$2*1000/800</f>
        <v>31.265625</v>
      </c>
      <c r="F39" s="101" t="str">
        <f>IF(ABS(C39)&lt;E39,"OK!","Tidak OK!")</f>
        <v>OK!</v>
      </c>
      <c r="G39" s="98" cm="1">
        <f t="array" ref="G39">ABS(E39/MAX(ABS(C39:D39)))</f>
        <v>3.1265624999999999</v>
      </c>
      <c r="I39" s="1" t="str">
        <f>B39</f>
        <v>Perencanaan</v>
      </c>
      <c r="J39" s="109" cm="1">
        <f t="array" ref="J39">MAX(ABS(C39:D39))</f>
        <v>10</v>
      </c>
      <c r="K39" s="109">
        <f>E39</f>
        <v>31.265625</v>
      </c>
      <c r="M39" s="1" t="str">
        <f>B41</f>
        <v>Perencanaan</v>
      </c>
      <c r="N39" s="1">
        <f>C41</f>
        <v>1.47</v>
      </c>
      <c r="O39" s="109">
        <f>E41</f>
        <v>15</v>
      </c>
      <c r="Q39" s="158" t="s">
        <v>2039</v>
      </c>
      <c r="R39" s="101" t="s">
        <v>2074</v>
      </c>
      <c r="S39" s="170">
        <v>228.78</v>
      </c>
      <c r="T39" s="171"/>
      <c r="U39" s="82">
        <f>0.7*(MIN($T$6:$T$7)+$Y$6+$Y$4+$Y$5)</f>
        <v>1751.598096329029</v>
      </c>
      <c r="V39" s="82" t="str">
        <f>IF(ABS(S39)&lt;U39,IF(ABS(T39)&lt;U39,"OK!","Tidak OK!"),"Tidak OK!")</f>
        <v>OK!</v>
      </c>
      <c r="W39" s="98" cm="1">
        <f t="array" ref="W39">ABS(U39/MAX(ABS(S39:T39)))</f>
        <v>7.656255338443172</v>
      </c>
      <c r="Y39" s="1" t="str">
        <f>R39</f>
        <v>Perencanaan</v>
      </c>
      <c r="Z39" s="109" cm="1">
        <f t="array" ref="Z39">MAX(ABS(S39:T39))</f>
        <v>228.78</v>
      </c>
      <c r="AA39" s="109">
        <f>U39</f>
        <v>1751.598096329029</v>
      </c>
      <c r="AC39" s="1" t="str">
        <f>R41</f>
        <v>Perencanaan</v>
      </c>
      <c r="AD39" s="1">
        <f>S41</f>
        <v>182.72</v>
      </c>
      <c r="AE39" s="109">
        <f>U41</f>
        <v>613.1376878802804</v>
      </c>
    </row>
    <row r="40" spans="1:31" x14ac:dyDescent="0.25">
      <c r="A40" s="158"/>
      <c r="B40" s="101" t="s">
        <v>2121</v>
      </c>
      <c r="C40" s="190">
        <v>6.25</v>
      </c>
      <c r="D40" s="193"/>
      <c r="E40" s="82">
        <f>$D$2*1000/800</f>
        <v>31.265625</v>
      </c>
      <c r="F40" s="101" t="str">
        <f t="shared" ref="F40:F42" si="4">IF(ABS(C40)&lt;E40,IF(ABS(D40)&lt;E40,"OK!","Tidak OK!"),"Tidak OK!")</f>
        <v>OK!</v>
      </c>
      <c r="G40" s="98" cm="1">
        <f t="array" ref="G40">ABS(E40/MAX(ABS(C40:D40)))</f>
        <v>5.0025000000000004</v>
      </c>
      <c r="I40" s="1"/>
      <c r="J40" s="1"/>
      <c r="K40" s="109">
        <f>E40</f>
        <v>31.265625</v>
      </c>
      <c r="M40" s="1"/>
      <c r="N40" s="1"/>
      <c r="O40" s="109">
        <f>E42</f>
        <v>15</v>
      </c>
      <c r="Q40" s="158"/>
      <c r="R40" s="101" t="s">
        <v>2121</v>
      </c>
      <c r="S40" s="95">
        <f>'Hasil P1 Kuat I'!P2</f>
        <v>252.29</v>
      </c>
      <c r="T40" s="95">
        <f>'Hasil P1 Kuat I'!P3</f>
        <v>-245.69</v>
      </c>
      <c r="U40" s="82">
        <f>0.7*(MIN($T$6:$T$7)+$Y$6+$Y$4+$Y$5)</f>
        <v>1751.598096329029</v>
      </c>
      <c r="V40" s="82" t="str">
        <f t="shared" ref="V40:V42" si="5">IF(ABS(S40)&lt;U40,IF(ABS(T40)&lt;U40,"OK!","Tidak OK!"),"Tidak OK!")</f>
        <v>OK!</v>
      </c>
      <c r="W40" s="98" cm="1">
        <f t="array" ref="W40">ABS(U40/MAX(ABS(S40:T40)))</f>
        <v>6.9427963705617701</v>
      </c>
      <c r="Y40" s="1"/>
      <c r="Z40" s="1"/>
      <c r="AA40" s="109">
        <f>U40</f>
        <v>1751.598096329029</v>
      </c>
      <c r="AC40" s="1"/>
      <c r="AD40" s="1"/>
      <c r="AE40" s="109">
        <f>U42</f>
        <v>613.1376878802804</v>
      </c>
    </row>
    <row r="41" spans="1:31" x14ac:dyDescent="0.25">
      <c r="A41" s="158" t="s">
        <v>2040</v>
      </c>
      <c r="B41" s="101" t="s">
        <v>2074</v>
      </c>
      <c r="C41" s="145">
        <v>1.47</v>
      </c>
      <c r="D41" s="192">
        <f>(C42-C41)/C41</f>
        <v>-0.49659863945578231</v>
      </c>
      <c r="E41" s="82">
        <f>$D$6*1000/800</f>
        <v>15</v>
      </c>
      <c r="F41" s="101" t="str">
        <f t="shared" si="4"/>
        <v>OK!</v>
      </c>
      <c r="G41" s="98" cm="1">
        <f t="array" ref="G41">ABS(E41/MAX(ABS(C41:D41)))</f>
        <v>10.204081632653061</v>
      </c>
      <c r="I41" s="1" t="str">
        <f>B40</f>
        <v>Evaluasi</v>
      </c>
      <c r="J41" s="1" cm="1">
        <f t="array" ref="J41">MAX(ABS(C40:D40))</f>
        <v>6.25</v>
      </c>
      <c r="K41" s="109">
        <f>K40</f>
        <v>31.265625</v>
      </c>
      <c r="M41" s="1" t="str">
        <f>B42</f>
        <v>Evaluasi</v>
      </c>
      <c r="N41" s="1">
        <f>C42</f>
        <v>0.74</v>
      </c>
      <c r="O41" s="109">
        <f>O40</f>
        <v>15</v>
      </c>
      <c r="Q41" s="158" t="s">
        <v>2040</v>
      </c>
      <c r="R41" s="101" t="s">
        <v>2074</v>
      </c>
      <c r="S41" s="167">
        <v>182.72</v>
      </c>
      <c r="T41" s="168"/>
      <c r="U41" s="82">
        <f>0.7*(MIN($T$10:$T$11)+$Y$9+$Y$10)</f>
        <v>613.1376878802804</v>
      </c>
      <c r="V41" s="82" t="str">
        <f t="shared" si="5"/>
        <v>OK!</v>
      </c>
      <c r="W41" s="98" cm="1">
        <f t="array" ref="W41">ABS(U41/MAX(ABS(S41:T41)))</f>
        <v>3.3556134406757905</v>
      </c>
      <c r="Y41" s="1" t="str">
        <f>R40</f>
        <v>Evaluasi</v>
      </c>
      <c r="Z41" s="1" cm="1">
        <f t="array" ref="Z41">MAX(ABS(S40:T40))</f>
        <v>252.29</v>
      </c>
      <c r="AA41" s="109">
        <f>AA40</f>
        <v>1751.598096329029</v>
      </c>
      <c r="AC41" s="1" t="str">
        <f>R42</f>
        <v>Evaluasi</v>
      </c>
      <c r="AD41" s="1">
        <f>S42</f>
        <v>107.63</v>
      </c>
      <c r="AE41" s="109">
        <f>AE40</f>
        <v>613.1376878802804</v>
      </c>
    </row>
    <row r="42" spans="1:31" x14ac:dyDescent="0.25">
      <c r="A42" s="158"/>
      <c r="B42" s="101" t="s">
        <v>2121</v>
      </c>
      <c r="C42" s="190">
        <v>0.74</v>
      </c>
      <c r="D42" s="193"/>
      <c r="E42" s="82">
        <f>$D$6*1000/800</f>
        <v>15</v>
      </c>
      <c r="F42" s="101" t="str">
        <f t="shared" si="4"/>
        <v>OK!</v>
      </c>
      <c r="G42" s="98" cm="1">
        <f t="array" ref="G42">ABS(E42/MAX(ABS(C42:D42)))</f>
        <v>20.27027027027027</v>
      </c>
      <c r="Q42" s="158"/>
      <c r="R42" s="101" t="s">
        <v>2121</v>
      </c>
      <c r="S42" s="95">
        <f>'Hasil P2 Kuat I'!Q2</f>
        <v>107.63</v>
      </c>
      <c r="T42" s="95">
        <f>'Hasil P2 Kuat I'!Q3</f>
        <v>-104.81</v>
      </c>
      <c r="U42" s="82">
        <f>0.7*(MIN($T$10:$T$11)+$Y$9+$Y$10)</f>
        <v>613.1376878802804</v>
      </c>
      <c r="V42" s="82" t="str">
        <f t="shared" si="5"/>
        <v>OK!</v>
      </c>
      <c r="W42" s="98" cm="1">
        <f t="array" ref="W42">ABS(U42/MAX(ABS(S42:T42)))</f>
        <v>5.6967173453524147</v>
      </c>
    </row>
    <row r="43" spans="1:31" x14ac:dyDescent="0.25">
      <c r="C43" s="191"/>
      <c r="D43" s="191"/>
    </row>
  </sheetData>
  <mergeCells count="27">
    <mergeCell ref="A2:A5"/>
    <mergeCell ref="Q4:Q7"/>
    <mergeCell ref="A6:A9"/>
    <mergeCell ref="Q8:Q11"/>
    <mergeCell ref="A14:G14"/>
    <mergeCell ref="Q14:V14"/>
    <mergeCell ref="Y14:AE14"/>
    <mergeCell ref="Y15:Y16"/>
    <mergeCell ref="Z15:AA15"/>
    <mergeCell ref="AB15:AC15"/>
    <mergeCell ref="AD15:AE15"/>
    <mergeCell ref="A18:A19"/>
    <mergeCell ref="C16:D16"/>
    <mergeCell ref="Q18:Q19"/>
    <mergeCell ref="C18:D18"/>
    <mergeCell ref="A37:G37"/>
    <mergeCell ref="Q37:W37"/>
    <mergeCell ref="A16:A17"/>
    <mergeCell ref="Q16:Q17"/>
    <mergeCell ref="S41:T41"/>
    <mergeCell ref="S39:T39"/>
    <mergeCell ref="A39:A40"/>
    <mergeCell ref="Q39:Q40"/>
    <mergeCell ref="A41:A42"/>
    <mergeCell ref="Q41:Q42"/>
    <mergeCell ref="D39:D40"/>
    <mergeCell ref="D41:D4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61BE-7F60-4137-8657-3006F13EBA87}">
  <sheetPr codeName="Sheet12"/>
  <dimension ref="A1:AV122"/>
  <sheetViews>
    <sheetView topLeftCell="Q6" zoomScale="70" zoomScaleNormal="70" workbookViewId="0">
      <selection activeCell="AL16" sqref="AL16:AL17"/>
    </sheetView>
  </sheetViews>
  <sheetFormatPr defaultRowHeight="15" x14ac:dyDescent="0.25"/>
  <cols>
    <col min="1" max="1" width="11" style="112" bestFit="1" customWidth="1"/>
    <col min="2" max="2" width="11" style="112" customWidth="1"/>
    <col min="3" max="3" width="11.28515625" style="112" customWidth="1"/>
    <col min="4" max="4" width="9.140625" style="112"/>
    <col min="5" max="5" width="9" style="112" customWidth="1"/>
    <col min="6" max="6" width="9.85546875" style="112" bestFit="1" customWidth="1"/>
    <col min="7" max="7" width="13.85546875" style="112" bestFit="1" customWidth="1"/>
    <col min="8" max="8" width="11" style="112" customWidth="1"/>
    <col min="9" max="9" width="9" style="112" customWidth="1"/>
    <col min="10" max="10" width="9.7109375" style="112" customWidth="1"/>
    <col min="11" max="11" width="9.7109375" style="112" bestFit="1" customWidth="1"/>
    <col min="12" max="13" width="9.140625" style="112"/>
    <col min="14" max="15" width="9" style="112" customWidth="1"/>
    <col min="16" max="16" width="9.140625" style="112" customWidth="1"/>
    <col min="17" max="22" width="9.140625" style="112"/>
    <col min="23" max="23" width="10.5703125" style="112" customWidth="1"/>
    <col min="24" max="26" width="9.140625" style="112"/>
    <col min="27" max="28" width="11.42578125" style="112" customWidth="1"/>
    <col min="29" max="30" width="9.140625" style="112"/>
    <col min="31" max="31" width="11.42578125" style="112" bestFit="1" customWidth="1"/>
    <col min="32" max="32" width="11.42578125" style="112" customWidth="1"/>
    <col min="33" max="33" width="11.42578125" style="112" bestFit="1" customWidth="1"/>
    <col min="34" max="35" width="9.140625" style="112"/>
    <col min="36" max="36" width="11.42578125" style="112" bestFit="1" customWidth="1"/>
    <col min="37" max="37" width="10.85546875" style="112" bestFit="1" customWidth="1"/>
    <col min="38" max="38" width="9.140625" style="112" customWidth="1"/>
    <col min="39" max="39" width="9.140625" style="112"/>
    <col min="40" max="40" width="9.42578125" style="112" bestFit="1" customWidth="1"/>
    <col min="41" max="16384" width="9.140625" style="112"/>
  </cols>
  <sheetData>
    <row r="1" spans="1:38" ht="16.5" x14ac:dyDescent="0.25">
      <c r="A1" s="179" t="s">
        <v>2039</v>
      </c>
      <c r="B1" s="140"/>
      <c r="C1" s="111" t="s">
        <v>2106</v>
      </c>
      <c r="D1" s="111" t="s">
        <v>52</v>
      </c>
      <c r="E1" s="112">
        <v>0.8</v>
      </c>
      <c r="G1" s="111" t="s">
        <v>174</v>
      </c>
      <c r="H1" s="111" t="s">
        <v>52</v>
      </c>
      <c r="I1" s="112">
        <v>200000</v>
      </c>
      <c r="J1" s="112" t="s">
        <v>110</v>
      </c>
      <c r="K1" s="179" t="s">
        <v>2040</v>
      </c>
      <c r="L1" s="111" t="s">
        <v>2106</v>
      </c>
      <c r="M1" s="111" t="s">
        <v>52</v>
      </c>
      <c r="N1" s="112">
        <v>0.8</v>
      </c>
      <c r="P1" s="111" t="s">
        <v>174</v>
      </c>
      <c r="Q1" s="111" t="s">
        <v>52</v>
      </c>
      <c r="R1" s="112">
        <v>200000</v>
      </c>
      <c r="S1" s="112" t="s">
        <v>110</v>
      </c>
      <c r="X1" s="111" t="s">
        <v>2057</v>
      </c>
      <c r="Y1" s="111" t="s">
        <v>52</v>
      </c>
      <c r="Z1" s="111">
        <v>30</v>
      </c>
      <c r="AA1" s="113" t="s">
        <v>110</v>
      </c>
    </row>
    <row r="2" spans="1:38" x14ac:dyDescent="0.25">
      <c r="A2" s="179"/>
      <c r="B2" s="140"/>
      <c r="C2" s="111" t="s">
        <v>2102</v>
      </c>
      <c r="D2" s="111" t="s">
        <v>52</v>
      </c>
      <c r="E2" s="114">
        <v>24000</v>
      </c>
      <c r="F2" s="112" t="s">
        <v>63</v>
      </c>
      <c r="G2" s="111" t="s">
        <v>2149</v>
      </c>
      <c r="H2" s="111" t="s">
        <v>52</v>
      </c>
      <c r="I2" s="111">
        <v>892634.5</v>
      </c>
      <c r="J2" s="112" t="s">
        <v>110</v>
      </c>
      <c r="K2" s="179"/>
      <c r="L2" s="111" t="s">
        <v>2102</v>
      </c>
      <c r="M2" s="111" t="s">
        <v>52</v>
      </c>
      <c r="N2" s="114">
        <v>6023</v>
      </c>
      <c r="O2" s="112" t="s">
        <v>63</v>
      </c>
      <c r="P2" s="111" t="s">
        <v>2109</v>
      </c>
      <c r="Q2" s="111" t="s">
        <v>52</v>
      </c>
      <c r="R2" s="111">
        <v>892634.5</v>
      </c>
      <c r="S2" s="112" t="s">
        <v>110</v>
      </c>
      <c r="X2" s="111" t="s">
        <v>2058</v>
      </c>
      <c r="Y2" s="111" t="s">
        <v>52</v>
      </c>
      <c r="Z2" s="111">
        <v>245</v>
      </c>
      <c r="AA2" s="113" t="s">
        <v>110</v>
      </c>
      <c r="AB2" s="111"/>
    </row>
    <row r="3" spans="1:38" x14ac:dyDescent="0.25">
      <c r="A3" s="179"/>
      <c r="B3" s="140"/>
      <c r="C3" s="111" t="s">
        <v>2111</v>
      </c>
      <c r="D3" s="111" t="s">
        <v>52</v>
      </c>
      <c r="E3" s="115">
        <v>25.012499999999999</v>
      </c>
      <c r="F3" s="112" t="s">
        <v>3</v>
      </c>
      <c r="G3" s="143" t="s">
        <v>2109</v>
      </c>
      <c r="H3" s="143" t="s">
        <v>52</v>
      </c>
      <c r="I3" s="144">
        <f>I2*(1-(E2/(E2+1000*(I5+I6)))^2)</f>
        <v>258656.58363083392</v>
      </c>
      <c r="J3" s="112" t="s">
        <v>110</v>
      </c>
      <c r="K3" s="179"/>
      <c r="L3" s="111" t="s">
        <v>2111</v>
      </c>
      <c r="M3" s="111" t="s">
        <v>52</v>
      </c>
      <c r="N3" s="115">
        <v>12</v>
      </c>
      <c r="O3" s="112" t="s">
        <v>3</v>
      </c>
      <c r="P3" s="143" t="s">
        <v>2109</v>
      </c>
      <c r="Q3" s="143" t="s">
        <v>52</v>
      </c>
      <c r="R3" s="144">
        <f>R2*(1-(N2/(N2+1000*(R5+R6)))^2)</f>
        <v>594052.07026667951</v>
      </c>
      <c r="S3" s="112" t="s">
        <v>110</v>
      </c>
      <c r="X3" s="116" t="s">
        <v>2060</v>
      </c>
      <c r="Y3" s="111" t="s">
        <v>52</v>
      </c>
      <c r="Z3" s="111">
        <f>('Kapasitas P1 Komposit'!L13+'Kapasitas P1 Komposit'!L14)/'Kapasitas P1 Komposit'!L12</f>
        <v>1.4979243322528655E-2</v>
      </c>
      <c r="AB3" s="111"/>
    </row>
    <row r="4" spans="1:38" x14ac:dyDescent="0.25">
      <c r="A4" s="179"/>
      <c r="B4" s="140"/>
      <c r="C4" s="111" t="s">
        <v>2045</v>
      </c>
      <c r="D4" s="111" t="s">
        <v>52</v>
      </c>
      <c r="E4" s="117">
        <f>MAX(I11:I12)</f>
        <v>47.74118398125924</v>
      </c>
      <c r="G4" s="111" t="s">
        <v>2110</v>
      </c>
      <c r="H4" s="111" t="s">
        <v>52</v>
      </c>
      <c r="I4" s="112">
        <v>1.27</v>
      </c>
      <c r="J4" s="112" t="s">
        <v>3</v>
      </c>
      <c r="K4" s="179"/>
      <c r="L4" s="111" t="s">
        <v>2045</v>
      </c>
      <c r="M4" s="111" t="s">
        <v>52</v>
      </c>
      <c r="N4" s="117">
        <f>MAX(R11:R12)</f>
        <v>47.74118398125924</v>
      </c>
      <c r="P4" s="111" t="s">
        <v>2110</v>
      </c>
      <c r="Q4" s="111" t="s">
        <v>52</v>
      </c>
      <c r="R4" s="112">
        <v>1.27</v>
      </c>
      <c r="S4" s="112" t="s">
        <v>3</v>
      </c>
      <c r="W4" s="179" t="s">
        <v>2039</v>
      </c>
      <c r="X4" s="111" t="s">
        <v>2061</v>
      </c>
      <c r="Y4" s="111" t="s">
        <v>52</v>
      </c>
      <c r="Z4" s="118">
        <f>'Hasil P1 Kuat I'!H2*0.35/'Hasil P1 Kuat I'!J2</f>
        <v>0.3635302593659942</v>
      </c>
      <c r="AA4" s="113"/>
      <c r="AB4" s="111">
        <f>(0.3*SQRT(Z1)*776*350)/1000</f>
        <v>446.28433985520934</v>
      </c>
    </row>
    <row r="5" spans="1:38" x14ac:dyDescent="0.25">
      <c r="A5" s="179"/>
      <c r="B5" s="140"/>
      <c r="C5" s="111" t="s">
        <v>192</v>
      </c>
      <c r="D5" s="111" t="s">
        <v>52</v>
      </c>
      <c r="E5" s="117">
        <f>(1000*(I5+I6)/E2)^0.5</f>
        <v>0.43195775256383584</v>
      </c>
      <c r="G5" s="111" t="s">
        <v>2107</v>
      </c>
      <c r="H5" s="111" t="s">
        <v>52</v>
      </c>
      <c r="I5" s="112">
        <v>0.87809999999999999</v>
      </c>
      <c r="J5" s="112" t="s">
        <v>3</v>
      </c>
      <c r="K5" s="179"/>
      <c r="L5" s="111" t="s">
        <v>192</v>
      </c>
      <c r="M5" s="111" t="s">
        <v>52</v>
      </c>
      <c r="N5" s="117">
        <f>(1000*(R5+R6)/N2)^0.5</f>
        <v>0.85383762217454284</v>
      </c>
      <c r="P5" s="111" t="s">
        <v>2107</v>
      </c>
      <c r="Q5" s="111" t="s">
        <v>52</v>
      </c>
      <c r="R5" s="112">
        <v>1.641</v>
      </c>
      <c r="S5" s="112" t="s">
        <v>3</v>
      </c>
      <c r="W5" s="179"/>
      <c r="X5" s="111" t="s">
        <v>2065</v>
      </c>
      <c r="Y5" s="111" t="s">
        <v>52</v>
      </c>
      <c r="Z5" s="118">
        <f>'Hasil P1 Kuat I'!N2*1000/'Kapasitas P1 Komposit'!L12</f>
        <v>1.9890648011782033</v>
      </c>
      <c r="AA5" s="112" t="s">
        <v>110</v>
      </c>
      <c r="AB5" s="111"/>
    </row>
    <row r="6" spans="1:38" x14ac:dyDescent="0.25">
      <c r="A6" s="179"/>
      <c r="B6" s="140"/>
      <c r="C6" s="111" t="s">
        <v>2105</v>
      </c>
      <c r="D6" s="111" t="s">
        <v>52</v>
      </c>
      <c r="E6" s="117">
        <f>1.22*(1+1.6*((I1*E11)/(I3*E2^3))^0.25)</f>
        <v>1.2837126985088259</v>
      </c>
      <c r="G6" s="111" t="s">
        <v>2108</v>
      </c>
      <c r="H6" s="111" t="s">
        <v>52</v>
      </c>
      <c r="I6" s="112">
        <f>7.2/2</f>
        <v>3.6</v>
      </c>
      <c r="J6" s="112" t="s">
        <v>3</v>
      </c>
      <c r="K6" s="179"/>
      <c r="L6" s="111" t="s">
        <v>2105</v>
      </c>
      <c r="M6" s="111" t="s">
        <v>52</v>
      </c>
      <c r="N6" s="117">
        <f>IF(2*R6/N3&lt;0.4,1.22*(1+1.6*((R1*N11)/(R3*N2^3))^0.25),1.22)</f>
        <v>1.22</v>
      </c>
      <c r="P6" s="111" t="s">
        <v>2108</v>
      </c>
      <c r="Q6" s="111" t="s">
        <v>52</v>
      </c>
      <c r="R6" s="112">
        <f>5.5/2</f>
        <v>2.75</v>
      </c>
      <c r="S6" s="112" t="s">
        <v>3</v>
      </c>
      <c r="W6" s="179"/>
      <c r="X6" s="111" t="s">
        <v>2059</v>
      </c>
      <c r="Y6" s="111" t="s">
        <v>52</v>
      </c>
      <c r="Z6" s="119">
        <f>((SQRT(Z1)+120*Z3*Z4)*776*350/7)/1000</f>
        <v>237.87017293844042</v>
      </c>
      <c r="AA6" s="113" t="s">
        <v>89</v>
      </c>
      <c r="AB6" s="111"/>
    </row>
    <row r="7" spans="1:38" x14ac:dyDescent="0.25">
      <c r="A7" s="179"/>
      <c r="B7" s="140"/>
      <c r="C7" s="111" t="s">
        <v>2104</v>
      </c>
      <c r="D7" s="111" t="s">
        <v>52</v>
      </c>
      <c r="E7" s="112">
        <f>E6*((I1*E11)/(I3*E2^3))^0.25</f>
        <v>4.1900000067645576E-2</v>
      </c>
      <c r="G7" s="111" t="s">
        <v>2112</v>
      </c>
      <c r="H7" s="111" t="s">
        <v>52</v>
      </c>
      <c r="I7" s="112">
        <f>(0.85+0.3*I4/E3)</f>
        <v>0.86523238380809597</v>
      </c>
      <c r="J7" s="112" t="s">
        <v>2113</v>
      </c>
      <c r="K7" s="179"/>
      <c r="L7" s="111" t="s">
        <v>2104</v>
      </c>
      <c r="M7" s="111" t="s">
        <v>52</v>
      </c>
      <c r="N7" s="112">
        <f>N6*((R1*N11)/(R3*N2^3))^0.25</f>
        <v>9.1228294697407647E-2</v>
      </c>
      <c r="P7" s="111" t="s">
        <v>2112</v>
      </c>
      <c r="Q7" s="111" t="s">
        <v>52</v>
      </c>
      <c r="R7" s="112">
        <f>(0.85+0.3*R4/N3)</f>
        <v>0.88175000000000003</v>
      </c>
      <c r="S7" s="112" t="s">
        <v>2113</v>
      </c>
      <c r="W7" s="179"/>
      <c r="X7" s="111" t="s">
        <v>2064</v>
      </c>
      <c r="Y7" s="111" t="s">
        <v>52</v>
      </c>
      <c r="Z7" s="119">
        <f>((1+0.3*Z5)*SQRT(Z1)/6*776*350)/1000</f>
        <v>395.88382298451313</v>
      </c>
      <c r="AA7" s="113" t="s">
        <v>89</v>
      </c>
      <c r="AB7" s="111"/>
    </row>
    <row r="8" spans="1:38" x14ac:dyDescent="0.25">
      <c r="A8" s="179"/>
      <c r="B8" s="140"/>
      <c r="C8" s="111" t="s">
        <v>2103</v>
      </c>
      <c r="D8" s="111" t="s">
        <v>52</v>
      </c>
      <c r="E8" s="112">
        <f>E4/E7*(6*I1*E5/Z2)^0.5</f>
        <v>52409.181713884216</v>
      </c>
      <c r="F8" s="112" t="s">
        <v>63</v>
      </c>
      <c r="G8" s="111"/>
      <c r="K8" s="179"/>
      <c r="L8" s="111" t="s">
        <v>2103</v>
      </c>
      <c r="M8" s="111" t="s">
        <v>52</v>
      </c>
      <c r="N8" s="112">
        <f>N4/N7*(6*R1*N5/Z2)^0.5</f>
        <v>33842.220657927348</v>
      </c>
      <c r="O8" s="112" t="s">
        <v>63</v>
      </c>
      <c r="P8" s="111"/>
      <c r="R8" s="114">
        <f>5.5/N3</f>
        <v>0.45833333333333331</v>
      </c>
      <c r="W8" s="179" t="s">
        <v>2040</v>
      </c>
      <c r="X8" s="111" t="s">
        <v>2061</v>
      </c>
      <c r="Y8" s="111" t="s">
        <v>52</v>
      </c>
      <c r="Z8" s="118">
        <f>'Hasil P2 Kuat I'!I2*0.3/'Hasil P2 Kuat I'!K2</f>
        <v>-0.34247984726347047</v>
      </c>
      <c r="AA8" s="113"/>
      <c r="AB8" s="111"/>
    </row>
    <row r="9" spans="1:38" x14ac:dyDescent="0.25">
      <c r="A9" s="179"/>
      <c r="B9" s="140"/>
      <c r="C9" s="111" t="s">
        <v>2047</v>
      </c>
      <c r="D9" s="111" t="s">
        <v>52</v>
      </c>
      <c r="E9" s="117">
        <f>IF(E2&gt;E8,(3*E1*I7*I1)/(E7*E2/E4)^2,E1*I7*(Z2-((Z2*E7*E4)^2/(12*I1*E4^2*E5))))</f>
        <v>169.58547686563779</v>
      </c>
      <c r="F9" s="112" t="s">
        <v>110</v>
      </c>
      <c r="G9" s="111"/>
      <c r="K9" s="179"/>
      <c r="L9" s="111" t="s">
        <v>2047</v>
      </c>
      <c r="M9" s="111" t="s">
        <v>52</v>
      </c>
      <c r="N9" s="117">
        <f>IF(N2&gt;N8,(3*N1*R7*R1)/(N7*N2/N4)^2,N1*R7*(Z2-((Z2*N7*N4)^2/(12*R1*N4^2*N5))))</f>
        <v>172.8228280349426</v>
      </c>
      <c r="O9" s="112" t="s">
        <v>110</v>
      </c>
      <c r="P9" s="111"/>
      <c r="W9" s="179"/>
      <c r="X9" s="111" t="s">
        <v>2065</v>
      </c>
      <c r="Y9" s="111" t="s">
        <v>52</v>
      </c>
      <c r="Z9" s="118">
        <f>'Hasil P2 Kuat I'!O2*1000/'Kapasitas P2'!L12</f>
        <v>1.8224656357388316</v>
      </c>
      <c r="AA9" s="112" t="s">
        <v>110</v>
      </c>
      <c r="AB9" s="111" t="s">
        <v>2119</v>
      </c>
      <c r="AC9" s="111" t="s">
        <v>52</v>
      </c>
      <c r="AD9" s="117">
        <f>(0.6*'Kapasitas P2'!L13*'Kapasitas P2'!G6)/1000</f>
        <v>355.80421757496561</v>
      </c>
      <c r="AE9" s="113" t="s">
        <v>89</v>
      </c>
      <c r="AF9" s="142"/>
    </row>
    <row r="10" spans="1:38" x14ac:dyDescent="0.25">
      <c r="A10" s="179"/>
      <c r="B10" s="140"/>
      <c r="C10" s="111" t="s">
        <v>2093</v>
      </c>
      <c r="D10" s="111" t="s">
        <v>52</v>
      </c>
      <c r="E10" s="112">
        <v>298913</v>
      </c>
      <c r="F10" s="112" t="s">
        <v>2097</v>
      </c>
      <c r="G10" s="111"/>
      <c r="K10" s="179"/>
      <c r="L10" s="111" t="s">
        <v>2093</v>
      </c>
      <c r="M10" s="111" t="s">
        <v>52</v>
      </c>
      <c r="N10" s="112">
        <v>298913</v>
      </c>
      <c r="O10" s="112" t="s">
        <v>2097</v>
      </c>
      <c r="P10" s="111"/>
      <c r="W10" s="179"/>
      <c r="X10" s="111" t="s">
        <v>2059</v>
      </c>
      <c r="Y10" s="111" t="s">
        <v>52</v>
      </c>
      <c r="Z10" s="119">
        <f>((SQRT(Z1)+120*Z3*Z8)*776*300/7)/1000</f>
        <v>161.68342121994078</v>
      </c>
      <c r="AA10" s="113" t="s">
        <v>89</v>
      </c>
      <c r="AB10" s="111" t="s">
        <v>2120</v>
      </c>
      <c r="AC10" s="111" t="s">
        <v>52</v>
      </c>
      <c r="AD10" s="117">
        <f>(0.6*'Kapasitas P2'!L14*'Kapasitas P2'!G6)/1000</f>
        <v>355.80421757496561</v>
      </c>
      <c r="AE10" s="113" t="s">
        <v>89</v>
      </c>
      <c r="AF10" s="142"/>
    </row>
    <row r="11" spans="1:38" x14ac:dyDescent="0.25">
      <c r="A11" s="179"/>
      <c r="B11" s="140"/>
      <c r="C11" s="111" t="s">
        <v>2094</v>
      </c>
      <c r="D11" s="111" t="s">
        <v>52</v>
      </c>
      <c r="E11" s="112">
        <v>20291400</v>
      </c>
      <c r="F11" s="112" t="s">
        <v>2097</v>
      </c>
      <c r="G11" s="111" t="s">
        <v>2095</v>
      </c>
      <c r="H11" s="111" t="s">
        <v>52</v>
      </c>
      <c r="I11" s="117">
        <f>SQRT(E10/$E$12)</f>
        <v>5.7944147926543002</v>
      </c>
      <c r="J11" s="112" t="s">
        <v>63</v>
      </c>
      <c r="K11" s="179"/>
      <c r="L11" s="111" t="s">
        <v>2094</v>
      </c>
      <c r="M11" s="111" t="s">
        <v>52</v>
      </c>
      <c r="N11" s="112">
        <v>20291400</v>
      </c>
      <c r="O11" s="112" t="s">
        <v>2097</v>
      </c>
      <c r="P11" s="111" t="s">
        <v>2095</v>
      </c>
      <c r="Q11" s="111" t="s">
        <v>52</v>
      </c>
      <c r="R11" s="117">
        <f>SQRT(N10/$E$12)</f>
        <v>5.7944147926543002</v>
      </c>
      <c r="S11" s="112" t="s">
        <v>63</v>
      </c>
      <c r="W11" s="179"/>
      <c r="X11" s="111" t="s">
        <v>2064</v>
      </c>
      <c r="Y11" s="111" t="s">
        <v>52</v>
      </c>
      <c r="Z11" s="119">
        <f>((1+0.3*Z9)*SQRT(Z1)/6*776*300)/1000</f>
        <v>328.70747704836282</v>
      </c>
      <c r="AA11" s="113" t="s">
        <v>89</v>
      </c>
      <c r="AB11" s="111" t="s">
        <v>2118</v>
      </c>
      <c r="AC11" s="111" t="s">
        <v>52</v>
      </c>
      <c r="AD11" s="117">
        <f>(0.6*'Kapasitas P1 Komposit'!L15*'Kapasitas P1 Komposit'!G16)/1000</f>
        <v>1312.4159999999999</v>
      </c>
      <c r="AE11" s="113" t="s">
        <v>89</v>
      </c>
      <c r="AF11" s="142"/>
    </row>
    <row r="12" spans="1:38" x14ac:dyDescent="0.25">
      <c r="A12" s="179"/>
      <c r="B12" s="140"/>
      <c r="C12" s="111" t="s">
        <v>11</v>
      </c>
      <c r="D12" s="111" t="s">
        <v>52</v>
      </c>
      <c r="E12" s="112">
        <v>8902.7800000000007</v>
      </c>
      <c r="F12" s="112" t="s">
        <v>176</v>
      </c>
      <c r="G12" s="111" t="s">
        <v>2096</v>
      </c>
      <c r="H12" s="111" t="s">
        <v>52</v>
      </c>
      <c r="I12" s="117">
        <f>SQRT(E11/$E$12)</f>
        <v>47.74118398125924</v>
      </c>
      <c r="J12" s="112" t="s">
        <v>63</v>
      </c>
      <c r="K12" s="179"/>
      <c r="L12" s="111" t="s">
        <v>11</v>
      </c>
      <c r="M12" s="111" t="s">
        <v>52</v>
      </c>
      <c r="N12" s="112">
        <v>8902.7800000000007</v>
      </c>
      <c r="O12" s="112" t="s">
        <v>176</v>
      </c>
      <c r="P12" s="111" t="s">
        <v>2096</v>
      </c>
      <c r="Q12" s="111" t="s">
        <v>52</v>
      </c>
      <c r="R12" s="117">
        <f>SQRT(N11/$E$12)</f>
        <v>47.74118398125924</v>
      </c>
      <c r="S12" s="112" t="s">
        <v>63</v>
      </c>
      <c r="W12" s="111"/>
      <c r="AB12" s="111"/>
    </row>
    <row r="13" spans="1:38" x14ac:dyDescent="0.25">
      <c r="I13" s="117"/>
    </row>
    <row r="14" spans="1:38" ht="15" customHeight="1" x14ac:dyDescent="0.25">
      <c r="A14" s="180" t="s">
        <v>2146</v>
      </c>
      <c r="B14" s="180"/>
      <c r="C14" s="180"/>
      <c r="D14" s="180"/>
      <c r="E14" s="180"/>
      <c r="F14" s="180"/>
      <c r="G14" s="180"/>
      <c r="H14" s="180"/>
      <c r="J14" s="120" t="str">
        <f>A16</f>
        <v>P1</v>
      </c>
      <c r="K14" s="121" t="str">
        <f>$D$15</f>
        <v>σ max</v>
      </c>
      <c r="L14" s="121" t="str">
        <f>$F$15</f>
        <v>σ izin = Fb</v>
      </c>
      <c r="M14" s="122"/>
      <c r="N14" s="120" t="str">
        <f>A18</f>
        <v>P2</v>
      </c>
      <c r="O14" s="121" t="str">
        <f>$D$15</f>
        <v>σ max</v>
      </c>
      <c r="P14" s="121" t="str">
        <f>$F$15</f>
        <v>σ izin = Fb</v>
      </c>
      <c r="W14" s="180" t="s">
        <v>2100</v>
      </c>
      <c r="X14" s="180"/>
      <c r="Y14" s="180"/>
      <c r="Z14" s="180"/>
      <c r="AA14" s="180"/>
      <c r="AB14" s="180"/>
      <c r="AE14" s="176" t="s">
        <v>2144</v>
      </c>
      <c r="AF14" s="177"/>
      <c r="AG14" s="177"/>
      <c r="AH14" s="177"/>
      <c r="AI14" s="177"/>
      <c r="AJ14" s="177"/>
      <c r="AK14" s="178"/>
    </row>
    <row r="15" spans="1:38" x14ac:dyDescent="0.25">
      <c r="A15" s="123" t="s">
        <v>2038</v>
      </c>
      <c r="B15" s="141" t="s">
        <v>2036</v>
      </c>
      <c r="C15" s="141" t="s">
        <v>2142</v>
      </c>
      <c r="D15" s="105" t="s">
        <v>2041</v>
      </c>
      <c r="E15" s="105" t="s">
        <v>2042</v>
      </c>
      <c r="F15" s="105" t="s">
        <v>2115</v>
      </c>
      <c r="G15" s="105" t="s">
        <v>2043</v>
      </c>
      <c r="H15" s="105" t="s">
        <v>2087</v>
      </c>
      <c r="J15" s="121"/>
      <c r="K15" s="120"/>
      <c r="L15" s="124">
        <f>L16</f>
        <v>169.58547686563779</v>
      </c>
      <c r="M15" s="122"/>
      <c r="N15" s="121"/>
      <c r="O15" s="120"/>
      <c r="P15" s="124">
        <f>P16</f>
        <v>172.8228280349426</v>
      </c>
      <c r="W15" s="105" t="s">
        <v>2036</v>
      </c>
      <c r="X15" s="105" t="s">
        <v>2038</v>
      </c>
      <c r="Y15" s="105" t="s">
        <v>2052</v>
      </c>
      <c r="Z15" s="105" t="s">
        <v>2051</v>
      </c>
      <c r="AA15" s="105" t="s">
        <v>2053</v>
      </c>
      <c r="AB15" s="105" t="s">
        <v>2054</v>
      </c>
      <c r="AE15" s="105" t="s">
        <v>2038</v>
      </c>
      <c r="AF15" s="141" t="s">
        <v>2036</v>
      </c>
      <c r="AG15" s="105" t="s">
        <v>2142</v>
      </c>
      <c r="AH15" s="105" t="s">
        <v>2052</v>
      </c>
      <c r="AI15" s="105" t="s">
        <v>2051</v>
      </c>
      <c r="AJ15" s="105" t="s">
        <v>2053</v>
      </c>
      <c r="AK15" s="105" t="s">
        <v>2054</v>
      </c>
      <c r="AL15" s="112" t="s">
        <v>2099</v>
      </c>
    </row>
    <row r="16" spans="1:38" ht="30" customHeight="1" x14ac:dyDescent="0.25">
      <c r="A16" s="180" t="s">
        <v>2039</v>
      </c>
      <c r="B16" s="141" t="s">
        <v>2074</v>
      </c>
      <c r="C16" s="141" t="s">
        <v>2147</v>
      </c>
      <c r="D16" s="105">
        <v>70.790000000000006</v>
      </c>
      <c r="E16" s="105">
        <v>-40.46</v>
      </c>
      <c r="F16" s="125">
        <f>$E$9</f>
        <v>169.58547686563779</v>
      </c>
      <c r="G16" s="105" t="str">
        <f>IF(ABS(D16)&lt;F16,IF(ABS(E16)&lt;F16,"OK!","Tidak OK!"),"Tidak OK!")</f>
        <v>OK!</v>
      </c>
      <c r="H16" s="126" cm="1">
        <f t="array" ref="H16">ABS(F16/MAX(ABS(D16:E16)))</f>
        <v>2.3956134604554</v>
      </c>
      <c r="J16" s="120" t="str">
        <f>C16</f>
        <v>Komposit CSP+Beton</v>
      </c>
      <c r="K16" s="120" cm="1">
        <f t="array" ref="K16">MAX(ABS(D16:E16))</f>
        <v>70.790000000000006</v>
      </c>
      <c r="L16" s="124">
        <f>F16</f>
        <v>169.58547686563779</v>
      </c>
      <c r="M16" s="122"/>
      <c r="N16" s="120" t="str">
        <f>C18</f>
        <v>Beton Bertulang</v>
      </c>
      <c r="O16" s="120">
        <v>2</v>
      </c>
      <c r="P16" s="124">
        <f>F19</f>
        <v>172.8228280349426</v>
      </c>
      <c r="W16" s="180" t="s">
        <v>2037</v>
      </c>
      <c r="X16" s="105" t="s">
        <v>2039</v>
      </c>
      <c r="Y16" s="105">
        <v>376.7</v>
      </c>
      <c r="Z16" s="105">
        <v>-291.8</v>
      </c>
      <c r="AA16" s="125">
        <v>7.72</v>
      </c>
      <c r="AB16" s="125">
        <v>-1.92</v>
      </c>
      <c r="AE16" s="180" t="s">
        <v>2039</v>
      </c>
      <c r="AF16" s="141" t="s">
        <v>2074</v>
      </c>
      <c r="AG16" s="105" t="s">
        <v>2147</v>
      </c>
      <c r="AH16" s="105">
        <v>376.7</v>
      </c>
      <c r="AI16" s="105">
        <v>-291.8</v>
      </c>
      <c r="AJ16" s="133">
        <v>7.72</v>
      </c>
      <c r="AK16" s="133">
        <v>-1.92</v>
      </c>
      <c r="AL16" s="187">
        <f>AVERAGE((AH16-AH17)/AH17,(AI16-AI17)/AI17,(AJ16-AJ17)/AJ17,(AK16-AK17)/AK17)</f>
        <v>-0.46361202135487545</v>
      </c>
    </row>
    <row r="17" spans="1:38" ht="29.25" customHeight="1" x14ac:dyDescent="0.25">
      <c r="A17" s="180"/>
      <c r="B17" s="141" t="s">
        <v>2143</v>
      </c>
      <c r="C17" s="132" t="s">
        <v>2141</v>
      </c>
      <c r="D17" s="105">
        <v>90.89</v>
      </c>
      <c r="E17" s="105">
        <v>-69.349999999999994</v>
      </c>
      <c r="F17" s="125">
        <f>$E$9</f>
        <v>169.58547686563779</v>
      </c>
      <c r="G17" s="105" t="str">
        <f t="shared" ref="G17" si="0">IF(ABS(D17)&lt;F17,IF(ABS(E17)&lt;F17,"OK!","Tidak OK!"),"Tidak OK!")</f>
        <v>OK!</v>
      </c>
      <c r="H17" s="126" cm="1">
        <f t="array" ref="H17">ABS(F17/MAX(ABS(D17:E17)))</f>
        <v>1.8658320702567697</v>
      </c>
      <c r="J17" s="120"/>
      <c r="K17" s="120"/>
      <c r="L17" s="124">
        <f>F17</f>
        <v>169.58547686563779</v>
      </c>
      <c r="M17" s="122"/>
      <c r="N17" s="120"/>
      <c r="O17" s="120"/>
      <c r="P17" s="124">
        <f>F19</f>
        <v>172.8228280349426</v>
      </c>
      <c r="W17" s="180"/>
      <c r="X17" s="105" t="s">
        <v>2040</v>
      </c>
      <c r="Y17" s="105" t="s">
        <v>93</v>
      </c>
      <c r="Z17" s="105" t="s">
        <v>93</v>
      </c>
      <c r="AA17" s="125" t="s">
        <v>93</v>
      </c>
      <c r="AB17" s="125" t="s">
        <v>93</v>
      </c>
      <c r="AE17" s="180"/>
      <c r="AF17" s="141" t="s">
        <v>2143</v>
      </c>
      <c r="AG17" s="132" t="s">
        <v>2141</v>
      </c>
      <c r="AH17" s="105">
        <v>511.39</v>
      </c>
      <c r="AI17" s="105">
        <v>-528.6</v>
      </c>
      <c r="AJ17" s="133">
        <v>15.9</v>
      </c>
      <c r="AK17" s="133">
        <v>-5.17</v>
      </c>
      <c r="AL17" s="187"/>
    </row>
    <row r="18" spans="1:38" ht="30" customHeight="1" x14ac:dyDescent="0.25">
      <c r="A18" s="180" t="s">
        <v>2040</v>
      </c>
      <c r="B18" s="141" t="s">
        <v>2074</v>
      </c>
      <c r="C18" s="141" t="s">
        <v>2116</v>
      </c>
      <c r="D18" s="105" t="s">
        <v>2123</v>
      </c>
      <c r="E18" s="105" t="s">
        <v>2123</v>
      </c>
      <c r="F18" s="105" t="s">
        <v>2123</v>
      </c>
      <c r="G18" s="105" t="s">
        <v>2123</v>
      </c>
      <c r="H18" s="105" t="s">
        <v>2123</v>
      </c>
      <c r="J18" s="120" t="str">
        <f>C17</f>
        <v>Corrugated Steel Plate</v>
      </c>
      <c r="K18" s="120" cm="1">
        <f t="array" ref="K18">MAX(ABS(D17:E17))</f>
        <v>90.89</v>
      </c>
      <c r="L18" s="124">
        <f>L17</f>
        <v>169.58547686563779</v>
      </c>
      <c r="M18" s="122"/>
      <c r="N18" s="120" t="str">
        <f>C19</f>
        <v>Corrugated Steel Plate</v>
      </c>
      <c r="O18" s="120" cm="1">
        <f t="array" ref="O18">MAX(ABS(D19:E19))</f>
        <v>99.33</v>
      </c>
      <c r="P18" s="124">
        <f>P17</f>
        <v>172.8228280349426</v>
      </c>
      <c r="W18" s="180" t="s">
        <v>2089</v>
      </c>
      <c r="X18" s="105" t="s">
        <v>2039</v>
      </c>
      <c r="Y18" s="105">
        <v>511.39</v>
      </c>
      <c r="Z18" s="105">
        <v>-528.6</v>
      </c>
      <c r="AA18" s="125">
        <v>15.9</v>
      </c>
      <c r="AB18" s="125">
        <v>-5.17</v>
      </c>
      <c r="AE18" s="180" t="s">
        <v>2040</v>
      </c>
      <c r="AF18" s="141" t="s">
        <v>2074</v>
      </c>
      <c r="AG18" s="105" t="s">
        <v>2116</v>
      </c>
      <c r="AH18" s="105">
        <v>10</v>
      </c>
      <c r="AI18" s="105">
        <v>10</v>
      </c>
      <c r="AJ18" s="133">
        <v>0.25</v>
      </c>
      <c r="AK18" s="133">
        <v>0.25</v>
      </c>
      <c r="AL18" s="186"/>
    </row>
    <row r="19" spans="1:38" ht="30" customHeight="1" x14ac:dyDescent="0.25">
      <c r="A19" s="180"/>
      <c r="B19" s="141" t="s">
        <v>2143</v>
      </c>
      <c r="C19" s="132" t="s">
        <v>2141</v>
      </c>
      <c r="D19" s="105">
        <v>36.81</v>
      </c>
      <c r="E19" s="105">
        <v>-99.33</v>
      </c>
      <c r="F19" s="125">
        <f>$N$9</f>
        <v>172.8228280349426</v>
      </c>
      <c r="G19" s="105" t="str">
        <f t="shared" ref="G19" si="1">IF(ABS(D19)&lt;F19,IF(ABS(E19)&lt;F19,"OK!","Tidak OK!"),"Tidak OK!")</f>
        <v>OK!</v>
      </c>
      <c r="H19" s="126" cm="1">
        <f t="array" ref="H19">ABS(F19/MAX(ABS(D19:E19)))</f>
        <v>1.7398855132884588</v>
      </c>
      <c r="J19" s="122"/>
      <c r="K19" s="122"/>
      <c r="L19" s="122"/>
      <c r="M19" s="122"/>
      <c r="N19" s="122"/>
      <c r="O19" s="122"/>
      <c r="P19" s="122"/>
      <c r="W19" s="180"/>
      <c r="X19" s="105" t="s">
        <v>2040</v>
      </c>
      <c r="Y19" s="105">
        <v>274.93</v>
      </c>
      <c r="Z19" s="105">
        <v>-734.97</v>
      </c>
      <c r="AA19" s="125">
        <v>8.09</v>
      </c>
      <c r="AB19" s="125">
        <v>-17.37</v>
      </c>
      <c r="AE19" s="180"/>
      <c r="AF19" s="141" t="s">
        <v>2143</v>
      </c>
      <c r="AG19" s="132" t="s">
        <v>2141</v>
      </c>
      <c r="AH19" s="105">
        <v>274.93</v>
      </c>
      <c r="AI19" s="105">
        <v>-734.97</v>
      </c>
      <c r="AJ19" s="133">
        <v>8.09</v>
      </c>
      <c r="AK19" s="133">
        <v>-17.37</v>
      </c>
      <c r="AL19" s="186"/>
    </row>
    <row r="20" spans="1:38" x14ac:dyDescent="0.25">
      <c r="A20" s="127"/>
      <c r="B20" s="127"/>
      <c r="C20" s="127"/>
      <c r="D20" s="127"/>
      <c r="E20" s="127"/>
      <c r="F20" s="131"/>
      <c r="G20" s="127"/>
      <c r="H20" s="128"/>
      <c r="J20" s="122"/>
      <c r="K20" s="122"/>
      <c r="L20" s="122"/>
      <c r="M20" s="122"/>
      <c r="N20" s="122"/>
      <c r="O20" s="122"/>
      <c r="P20" s="122"/>
      <c r="W20" s="127"/>
      <c r="X20" s="127"/>
      <c r="Y20" s="127"/>
      <c r="Z20" s="127"/>
      <c r="AA20" s="131"/>
      <c r="AB20" s="131"/>
      <c r="AE20" s="127"/>
      <c r="AF20" s="127"/>
      <c r="AG20" s="127"/>
      <c r="AH20" s="127"/>
      <c r="AI20" s="127"/>
      <c r="AJ20" s="131"/>
      <c r="AK20" s="131"/>
    </row>
    <row r="21" spans="1:38" x14ac:dyDescent="0.25">
      <c r="A21" s="127"/>
      <c r="B21" s="127"/>
      <c r="C21" s="127"/>
      <c r="D21" s="127"/>
      <c r="E21" s="127"/>
      <c r="F21" s="131"/>
      <c r="G21" s="127"/>
      <c r="H21" s="128"/>
      <c r="J21" s="122"/>
      <c r="K21" s="122"/>
      <c r="L21" s="122"/>
      <c r="M21" s="122"/>
      <c r="N21" s="122"/>
      <c r="O21" s="122"/>
      <c r="P21" s="122"/>
      <c r="W21" s="127"/>
      <c r="X21" s="127"/>
      <c r="Y21" s="127"/>
      <c r="Z21" s="127"/>
      <c r="AA21" s="131"/>
      <c r="AB21" s="131"/>
      <c r="AE21" s="127"/>
      <c r="AF21" s="127"/>
      <c r="AG21" s="127"/>
      <c r="AH21" s="127"/>
      <c r="AI21" s="127"/>
      <c r="AJ21" s="131"/>
      <c r="AK21" s="131"/>
    </row>
    <row r="22" spans="1:38" x14ac:dyDescent="0.25">
      <c r="A22" s="127"/>
      <c r="B22" s="127"/>
      <c r="C22" s="127"/>
      <c r="D22" s="127"/>
      <c r="E22" s="127"/>
      <c r="F22" s="131"/>
      <c r="G22" s="127"/>
      <c r="H22" s="128"/>
      <c r="J22" s="122"/>
      <c r="K22" s="122"/>
      <c r="L22" s="122"/>
      <c r="M22" s="122"/>
      <c r="N22" s="122"/>
      <c r="O22" s="122"/>
      <c r="P22" s="122"/>
      <c r="W22" s="127"/>
      <c r="X22" s="127"/>
      <c r="Y22" s="127"/>
      <c r="Z22" s="127"/>
      <c r="AA22" s="131"/>
      <c r="AB22" s="131"/>
      <c r="AE22" s="127"/>
      <c r="AF22" s="127"/>
      <c r="AG22" s="127"/>
      <c r="AH22" s="127"/>
      <c r="AI22" s="127"/>
      <c r="AJ22" s="131"/>
      <c r="AK22" s="131"/>
    </row>
    <row r="23" spans="1:38" x14ac:dyDescent="0.25">
      <c r="A23" s="127"/>
      <c r="B23" s="127"/>
      <c r="C23" s="127"/>
      <c r="D23" s="127"/>
      <c r="E23" s="127"/>
      <c r="F23" s="131"/>
      <c r="G23" s="127"/>
      <c r="H23" s="128"/>
      <c r="J23" s="122"/>
      <c r="K23" s="122"/>
      <c r="L23" s="122"/>
      <c r="M23" s="122"/>
      <c r="N23" s="122"/>
      <c r="O23" s="122"/>
      <c r="P23" s="122"/>
      <c r="W23" s="127"/>
      <c r="X23" s="127"/>
      <c r="Y23" s="127"/>
      <c r="Z23" s="127"/>
      <c r="AA23" s="131"/>
      <c r="AB23" s="131"/>
      <c r="AE23" s="127"/>
      <c r="AF23" s="127"/>
      <c r="AG23" s="127"/>
      <c r="AH23" s="127"/>
      <c r="AI23" s="127"/>
      <c r="AJ23" s="131"/>
      <c r="AK23" s="131"/>
    </row>
    <row r="24" spans="1:38" x14ac:dyDescent="0.25">
      <c r="A24" s="127"/>
      <c r="B24" s="127"/>
      <c r="C24" s="127"/>
      <c r="D24" s="127"/>
      <c r="E24" s="127"/>
      <c r="F24" s="131"/>
      <c r="G24" s="127"/>
      <c r="H24" s="128"/>
      <c r="J24" s="122"/>
      <c r="K24" s="122"/>
      <c r="L24" s="122"/>
      <c r="M24" s="122"/>
      <c r="N24" s="122"/>
      <c r="O24" s="122"/>
      <c r="P24" s="122"/>
      <c r="W24" s="127"/>
      <c r="X24" s="127"/>
      <c r="Y24" s="127"/>
      <c r="Z24" s="127"/>
      <c r="AA24" s="131"/>
      <c r="AB24" s="131"/>
      <c r="AE24" s="127"/>
      <c r="AF24" s="127"/>
      <c r="AG24" s="127"/>
      <c r="AH24" s="127"/>
      <c r="AI24" s="127"/>
      <c r="AJ24" s="131"/>
      <c r="AK24" s="131"/>
    </row>
    <row r="25" spans="1:38" x14ac:dyDescent="0.25">
      <c r="A25" s="127"/>
      <c r="B25" s="127"/>
      <c r="C25" s="127"/>
      <c r="D25" s="127"/>
      <c r="E25" s="127"/>
      <c r="F25" s="131"/>
      <c r="G25" s="127"/>
      <c r="H25" s="128"/>
      <c r="J25" s="122"/>
      <c r="K25" s="122"/>
      <c r="L25" s="122"/>
      <c r="M25" s="122"/>
      <c r="N25" s="122"/>
      <c r="O25" s="122"/>
      <c r="P25" s="122"/>
      <c r="W25" s="127"/>
      <c r="X25" s="127"/>
      <c r="Y25" s="127"/>
      <c r="Z25" s="127"/>
      <c r="AA25" s="131"/>
      <c r="AB25" s="131"/>
      <c r="AE25" s="127"/>
      <c r="AF25" s="127"/>
      <c r="AG25" s="127"/>
      <c r="AH25" s="127"/>
      <c r="AI25" s="127"/>
      <c r="AJ25" s="131"/>
      <c r="AK25" s="131"/>
    </row>
    <row r="26" spans="1:38" x14ac:dyDescent="0.25">
      <c r="A26" s="127"/>
      <c r="B26" s="127"/>
      <c r="C26" s="127"/>
      <c r="D26" s="127"/>
      <c r="E26" s="127"/>
      <c r="F26" s="131"/>
      <c r="G26" s="127"/>
      <c r="H26" s="128"/>
      <c r="J26" s="122"/>
      <c r="K26" s="122"/>
      <c r="L26" s="122"/>
      <c r="M26" s="122"/>
      <c r="N26" s="122"/>
      <c r="O26" s="122"/>
      <c r="P26" s="122"/>
      <c r="W26" s="127"/>
      <c r="X26" s="127"/>
      <c r="Y26" s="127"/>
      <c r="Z26" s="127"/>
      <c r="AA26" s="131"/>
      <c r="AB26" s="131"/>
      <c r="AE26" s="127"/>
      <c r="AF26" s="127"/>
      <c r="AG26" s="127"/>
      <c r="AH26" s="127"/>
      <c r="AI26" s="127"/>
      <c r="AJ26" s="131"/>
      <c r="AK26" s="131"/>
    </row>
    <row r="27" spans="1:38" x14ac:dyDescent="0.25">
      <c r="A27" s="127"/>
      <c r="B27" s="127"/>
      <c r="C27" s="127"/>
      <c r="D27" s="127"/>
      <c r="E27" s="127"/>
      <c r="F27" s="131"/>
      <c r="G27" s="127"/>
      <c r="H27" s="128"/>
      <c r="J27" s="122"/>
      <c r="K27" s="122"/>
      <c r="L27" s="122"/>
      <c r="M27" s="122"/>
      <c r="N27" s="122"/>
      <c r="O27" s="122"/>
      <c r="P27" s="122"/>
      <c r="W27" s="127"/>
      <c r="X27" s="127"/>
      <c r="Y27" s="127"/>
      <c r="Z27" s="127"/>
      <c r="AA27" s="131"/>
      <c r="AB27" s="131"/>
      <c r="AE27" s="127"/>
      <c r="AF27" s="127"/>
      <c r="AG27" s="127"/>
      <c r="AH27" s="127"/>
      <c r="AI27" s="127"/>
      <c r="AJ27" s="131"/>
      <c r="AK27" s="131"/>
    </row>
    <row r="28" spans="1:38" x14ac:dyDescent="0.25">
      <c r="A28" s="127"/>
      <c r="B28" s="127"/>
      <c r="C28" s="127"/>
      <c r="D28" s="127"/>
      <c r="E28" s="127"/>
      <c r="F28" s="131"/>
      <c r="G28" s="127"/>
      <c r="H28" s="128"/>
      <c r="J28" s="122"/>
      <c r="K28" s="122"/>
      <c r="L28" s="122"/>
      <c r="M28" s="122"/>
      <c r="N28" s="122"/>
      <c r="O28" s="122"/>
      <c r="P28" s="122"/>
      <c r="W28" s="127"/>
      <c r="X28" s="127"/>
      <c r="Y28" s="127"/>
      <c r="Z28" s="127"/>
      <c r="AA28" s="131"/>
      <c r="AB28" s="131"/>
      <c r="AE28" s="127"/>
      <c r="AF28" s="127"/>
      <c r="AG28" s="127"/>
      <c r="AH28" s="127"/>
      <c r="AI28" s="127"/>
      <c r="AJ28" s="131"/>
      <c r="AK28" s="131"/>
    </row>
    <row r="29" spans="1:38" x14ac:dyDescent="0.25">
      <c r="A29" s="127"/>
      <c r="B29" s="127"/>
      <c r="C29" s="127"/>
      <c r="D29" s="127"/>
      <c r="E29" s="127"/>
      <c r="F29" s="131"/>
      <c r="G29" s="127"/>
      <c r="H29" s="128"/>
      <c r="J29" s="122"/>
      <c r="K29" s="122"/>
      <c r="L29" s="122"/>
      <c r="M29" s="122"/>
      <c r="N29" s="122"/>
      <c r="O29" s="122"/>
      <c r="P29" s="122"/>
      <c r="W29" s="127"/>
      <c r="X29" s="127"/>
      <c r="Y29" s="127"/>
      <c r="Z29" s="127"/>
      <c r="AA29" s="131"/>
      <c r="AB29" s="131"/>
      <c r="AE29" s="127"/>
      <c r="AF29" s="127"/>
      <c r="AG29" s="127"/>
      <c r="AH29" s="127"/>
      <c r="AI29" s="127"/>
      <c r="AJ29" s="131"/>
      <c r="AK29" s="131"/>
    </row>
    <row r="30" spans="1:38" x14ac:dyDescent="0.25">
      <c r="A30" s="127"/>
      <c r="B30" s="127"/>
      <c r="C30" s="127"/>
      <c r="D30" s="127"/>
      <c r="E30" s="127"/>
      <c r="F30" s="131"/>
      <c r="G30" s="127"/>
      <c r="H30" s="128"/>
      <c r="J30" s="122"/>
      <c r="K30" s="122"/>
      <c r="L30" s="122"/>
      <c r="M30" s="122"/>
      <c r="N30" s="122"/>
      <c r="O30" s="122"/>
      <c r="P30" s="122"/>
      <c r="W30" s="127"/>
      <c r="X30" s="127"/>
      <c r="Y30" s="127"/>
      <c r="Z30" s="127"/>
      <c r="AA30" s="131"/>
      <c r="AB30" s="131"/>
      <c r="AE30" s="127"/>
      <c r="AF30" s="127"/>
      <c r="AG30" s="127"/>
      <c r="AH30" s="127"/>
      <c r="AI30" s="127"/>
      <c r="AJ30" s="131"/>
      <c r="AK30" s="131"/>
    </row>
    <row r="31" spans="1:38" x14ac:dyDescent="0.25">
      <c r="A31" s="127"/>
      <c r="B31" s="127"/>
      <c r="C31" s="127"/>
      <c r="D31" s="127"/>
      <c r="E31" s="127"/>
      <c r="F31" s="131"/>
      <c r="G31" s="127"/>
      <c r="H31" s="128"/>
      <c r="J31" s="122"/>
      <c r="K31" s="122"/>
      <c r="L31" s="122"/>
      <c r="M31" s="122"/>
      <c r="N31" s="122"/>
      <c r="O31" s="122"/>
      <c r="P31" s="122"/>
      <c r="W31" s="127"/>
      <c r="X31" s="127"/>
      <c r="Y31" s="127"/>
      <c r="Z31" s="127"/>
      <c r="AA31" s="131"/>
      <c r="AB31" s="131"/>
      <c r="AE31" s="127"/>
      <c r="AF31" s="127"/>
      <c r="AG31" s="127"/>
      <c r="AH31" s="127"/>
      <c r="AI31" s="127"/>
      <c r="AJ31" s="131"/>
      <c r="AK31" s="131"/>
    </row>
    <row r="32" spans="1:38" x14ac:dyDescent="0.25">
      <c r="A32" s="127"/>
      <c r="B32" s="127"/>
      <c r="C32" s="127"/>
      <c r="D32" s="127"/>
      <c r="E32" s="127"/>
      <c r="F32" s="131"/>
      <c r="G32" s="127"/>
      <c r="H32" s="128"/>
      <c r="J32" s="122"/>
      <c r="K32" s="122"/>
      <c r="L32" s="122"/>
      <c r="M32" s="122"/>
      <c r="N32" s="122"/>
      <c r="O32" s="122"/>
      <c r="P32" s="122"/>
      <c r="W32" s="127"/>
      <c r="X32" s="127"/>
      <c r="Y32" s="127"/>
      <c r="Z32" s="127"/>
      <c r="AA32" s="131"/>
      <c r="AB32" s="131"/>
      <c r="AE32" s="127"/>
      <c r="AF32" s="127"/>
      <c r="AG32" s="127"/>
      <c r="AH32" s="127"/>
      <c r="AI32" s="127"/>
      <c r="AJ32" s="131"/>
      <c r="AK32" s="131"/>
    </row>
    <row r="33" spans="1:48" x14ac:dyDescent="0.25">
      <c r="A33" s="127"/>
      <c r="B33" s="127"/>
      <c r="C33" s="127"/>
      <c r="D33" s="127"/>
      <c r="E33" s="127"/>
      <c r="F33" s="131"/>
      <c r="G33" s="127"/>
      <c r="H33" s="128"/>
      <c r="J33" s="122"/>
      <c r="K33" s="122"/>
      <c r="L33" s="122"/>
      <c r="M33" s="122"/>
      <c r="N33" s="122"/>
      <c r="O33" s="122"/>
      <c r="P33" s="122"/>
      <c r="W33" s="127"/>
      <c r="X33" s="127"/>
      <c r="Y33" s="127"/>
      <c r="Z33" s="127"/>
      <c r="AA33" s="131"/>
      <c r="AB33" s="131"/>
      <c r="AE33" s="127"/>
      <c r="AF33" s="127"/>
      <c r="AG33" s="127"/>
      <c r="AH33" s="127"/>
      <c r="AI33" s="127"/>
      <c r="AJ33" s="131"/>
      <c r="AK33" s="131"/>
    </row>
    <row r="34" spans="1:48" x14ac:dyDescent="0.25">
      <c r="A34" s="127"/>
      <c r="B34" s="127"/>
      <c r="C34" s="127"/>
      <c r="D34" s="127"/>
      <c r="E34" s="127"/>
      <c r="F34" s="131"/>
      <c r="G34" s="127"/>
      <c r="H34" s="128"/>
      <c r="J34" s="122"/>
      <c r="K34" s="122"/>
      <c r="L34" s="122"/>
      <c r="M34" s="122"/>
      <c r="N34" s="122"/>
      <c r="O34" s="122"/>
      <c r="P34" s="122"/>
      <c r="W34" s="127"/>
      <c r="X34" s="127"/>
      <c r="Y34" s="127"/>
      <c r="Z34" s="127"/>
      <c r="AA34" s="131"/>
      <c r="AB34" s="131"/>
      <c r="AE34" s="127"/>
      <c r="AF34" s="127"/>
      <c r="AG34" s="127"/>
      <c r="AH34" s="127"/>
      <c r="AI34" s="127"/>
      <c r="AJ34" s="131"/>
      <c r="AK34" s="131"/>
    </row>
    <row r="35" spans="1:48" x14ac:dyDescent="0.25">
      <c r="J35" s="122"/>
      <c r="K35" s="122"/>
      <c r="L35" s="122"/>
      <c r="M35" s="122"/>
      <c r="N35" s="122"/>
      <c r="O35" s="122"/>
      <c r="P35" s="122"/>
    </row>
    <row r="36" spans="1:48" ht="15" customHeight="1" x14ac:dyDescent="0.25">
      <c r="A36" s="180" t="s">
        <v>2145</v>
      </c>
      <c r="B36" s="180"/>
      <c r="C36" s="180"/>
      <c r="D36" s="180"/>
      <c r="E36" s="180"/>
      <c r="F36" s="180"/>
      <c r="G36" s="180"/>
      <c r="H36" s="180"/>
      <c r="J36" s="120" t="str">
        <f>A38</f>
        <v>P1</v>
      </c>
      <c r="K36" s="121" t="str">
        <f>$D$37</f>
        <v>δ max</v>
      </c>
      <c r="L36" s="121" t="str">
        <f>$F$37</f>
        <v>δ izin</v>
      </c>
      <c r="M36" s="122"/>
      <c r="N36" s="120" t="str">
        <f>A40</f>
        <v>P2</v>
      </c>
      <c r="O36" s="121" t="str">
        <f>$D$37</f>
        <v>δ max</v>
      </c>
      <c r="P36" s="121" t="str">
        <f>$F$37</f>
        <v>δ izin</v>
      </c>
      <c r="W36" s="180" t="s">
        <v>2148</v>
      </c>
      <c r="X36" s="180"/>
      <c r="Y36" s="180"/>
      <c r="Z36" s="180"/>
      <c r="AA36" s="180"/>
      <c r="AB36" s="180"/>
      <c r="AC36" s="180"/>
      <c r="AD36" s="127"/>
      <c r="AE36" s="180" t="s">
        <v>2148</v>
      </c>
      <c r="AF36" s="180"/>
      <c r="AG36" s="180"/>
      <c r="AH36" s="180"/>
      <c r="AI36" s="180"/>
      <c r="AJ36" s="180"/>
      <c r="AK36" s="180"/>
      <c r="AL36" s="180"/>
      <c r="AN36" s="120" t="str">
        <f>AE38</f>
        <v>P1</v>
      </c>
      <c r="AO36" s="121" t="s">
        <v>2122</v>
      </c>
      <c r="AP36" s="121" t="s">
        <v>2125</v>
      </c>
      <c r="AQ36" s="121" t="s">
        <v>2126</v>
      </c>
      <c r="AS36" s="120" t="str">
        <f>AE40</f>
        <v>P2</v>
      </c>
      <c r="AT36" s="121" t="s">
        <v>2122</v>
      </c>
      <c r="AU36" s="121" t="s">
        <v>2127</v>
      </c>
      <c r="AV36" s="121" t="s">
        <v>2126</v>
      </c>
    </row>
    <row r="37" spans="1:48" ht="16.5" customHeight="1" x14ac:dyDescent="0.25">
      <c r="A37" s="123" t="s">
        <v>2038</v>
      </c>
      <c r="B37" s="141" t="s">
        <v>2036</v>
      </c>
      <c r="C37" s="141" t="s">
        <v>2142</v>
      </c>
      <c r="D37" s="181" t="s">
        <v>2049</v>
      </c>
      <c r="E37" s="182"/>
      <c r="F37" s="105" t="s">
        <v>2050</v>
      </c>
      <c r="G37" s="105" t="s">
        <v>2043</v>
      </c>
      <c r="H37" s="105" t="s">
        <v>2087</v>
      </c>
      <c r="J37" s="121"/>
      <c r="K37" s="120"/>
      <c r="L37" s="124">
        <f>L38</f>
        <v>31.265625</v>
      </c>
      <c r="M37" s="122"/>
      <c r="N37" s="121"/>
      <c r="O37" s="120"/>
      <c r="P37" s="124">
        <f>P38</f>
        <v>15</v>
      </c>
      <c r="W37" s="105" t="s">
        <v>2036</v>
      </c>
      <c r="X37" s="105" t="s">
        <v>2038</v>
      </c>
      <c r="Y37" s="105" t="s">
        <v>2062</v>
      </c>
      <c r="Z37" s="105" t="s">
        <v>2063</v>
      </c>
      <c r="AA37" s="105" t="s">
        <v>2055</v>
      </c>
      <c r="AB37" s="105" t="s">
        <v>2043</v>
      </c>
      <c r="AC37" s="105" t="s">
        <v>2087</v>
      </c>
      <c r="AD37" s="127"/>
      <c r="AE37" s="105" t="s">
        <v>2038</v>
      </c>
      <c r="AF37" s="141" t="s">
        <v>2036</v>
      </c>
      <c r="AG37" s="141" t="s">
        <v>2142</v>
      </c>
      <c r="AH37" s="105" t="s">
        <v>2062</v>
      </c>
      <c r="AI37" s="105" t="s">
        <v>2063</v>
      </c>
      <c r="AJ37" s="105" t="s">
        <v>2055</v>
      </c>
      <c r="AK37" s="105" t="s">
        <v>2043</v>
      </c>
      <c r="AL37" s="105" t="s">
        <v>2087</v>
      </c>
      <c r="AN37" s="121"/>
      <c r="AO37" s="120"/>
      <c r="AP37" s="124">
        <f>AP38</f>
        <v>1583.32622566186</v>
      </c>
      <c r="AQ37" s="124">
        <f>AQ38</f>
        <v>1181.1743999999999</v>
      </c>
      <c r="AS37" s="121"/>
      <c r="AT37" s="120"/>
      <c r="AU37" s="124">
        <f>AU38</f>
        <v>611.30429945891035</v>
      </c>
      <c r="AV37" s="124">
        <f>AV38</f>
        <v>1181.1743999999999</v>
      </c>
    </row>
    <row r="38" spans="1:48" ht="30" customHeight="1" x14ac:dyDescent="0.25">
      <c r="A38" s="180" t="s">
        <v>2039</v>
      </c>
      <c r="B38" s="141" t="s">
        <v>2074</v>
      </c>
      <c r="C38" s="141" t="s">
        <v>2147</v>
      </c>
      <c r="D38" s="176">
        <v>6.25</v>
      </c>
      <c r="E38" s="178"/>
      <c r="F38" s="125">
        <f>$E$3*1000/800</f>
        <v>31.265625</v>
      </c>
      <c r="G38" s="105" t="str">
        <f>IF(ABS(D38)&lt;F38,"OK!","Tidak OK!")</f>
        <v>OK!</v>
      </c>
      <c r="H38" s="126" cm="1">
        <f t="array" ref="H38">ABS(F38/MAX(ABS(D38:E38)))</f>
        <v>5.0025000000000004</v>
      </c>
      <c r="J38" s="120" t="str">
        <f>C38</f>
        <v>Komposit CSP+Beton</v>
      </c>
      <c r="K38" s="120" cm="1">
        <f t="array" ref="K38">MAX(ABS(D38:E38))</f>
        <v>6.25</v>
      </c>
      <c r="L38" s="124">
        <f>F38</f>
        <v>31.265625</v>
      </c>
      <c r="M38" s="122"/>
      <c r="N38" s="120" t="str">
        <f>C40</f>
        <v>Beton Bertulang</v>
      </c>
      <c r="O38" s="120">
        <f>D40</f>
        <v>0.74</v>
      </c>
      <c r="P38" s="124">
        <f>F41</f>
        <v>15</v>
      </c>
      <c r="W38" s="180" t="s">
        <v>2037</v>
      </c>
      <c r="X38" s="105" t="s">
        <v>2039</v>
      </c>
      <c r="Y38" s="123">
        <f>'Hasil P1 Kuat I'!P2</f>
        <v>252.29</v>
      </c>
      <c r="Z38" s="123">
        <f>'Hasil P1 Kuat I'!P3</f>
        <v>-245.69</v>
      </c>
      <c r="AA38" s="125">
        <f>0.7*(MIN($Z$6:$Z$7)+$AD$11+$AD$10+$AD$9)</f>
        <v>1583.32622566186</v>
      </c>
      <c r="AB38" s="125" t="str">
        <f>IF(ABS(Y38)&lt;AA38,IF(ABS(Z38)&lt;AA38,"OK!","Tidak OK!"),"Tidak OK!")</f>
        <v>OK!</v>
      </c>
      <c r="AC38" s="126" cm="1">
        <f t="array" ref="AC38">ABS(AA38/MAX(ABS(Y38:Z38)))</f>
        <v>6.2758184060480398</v>
      </c>
      <c r="AD38" s="128"/>
      <c r="AE38" s="180" t="s">
        <v>2039</v>
      </c>
      <c r="AF38" s="141" t="s">
        <v>2074</v>
      </c>
      <c r="AG38" s="141" t="s">
        <v>2147</v>
      </c>
      <c r="AH38" s="123">
        <f t="shared" ref="AH38:AL38" si="2">Y38</f>
        <v>252.29</v>
      </c>
      <c r="AI38" s="123">
        <f t="shared" si="2"/>
        <v>-245.69</v>
      </c>
      <c r="AJ38" s="125">
        <f t="shared" si="2"/>
        <v>1583.32622566186</v>
      </c>
      <c r="AK38" s="125" t="str">
        <f t="shared" si="2"/>
        <v>OK!</v>
      </c>
      <c r="AL38" s="126">
        <f t="shared" si="2"/>
        <v>6.2758184060480398</v>
      </c>
      <c r="AN38" s="120" t="str">
        <f>AG38</f>
        <v>Komposit CSP+Beton</v>
      </c>
      <c r="AO38" s="120" cm="1">
        <f t="array" ref="AO38">MAX(ABS(AH38:AI38))</f>
        <v>252.29</v>
      </c>
      <c r="AP38" s="124">
        <f>AJ38</f>
        <v>1583.32622566186</v>
      </c>
      <c r="AQ38" s="124">
        <f>AJ39</f>
        <v>1181.1743999999999</v>
      </c>
      <c r="AS38" s="120" t="str">
        <f>AG40</f>
        <v>Beton Bertulang</v>
      </c>
      <c r="AT38" s="120" cm="1">
        <f t="array" ref="AT38">MAX(ABS(AH40:AI40))</f>
        <v>107.63</v>
      </c>
      <c r="AU38" s="124">
        <f>AJ40</f>
        <v>611.30429945891035</v>
      </c>
      <c r="AV38" s="124">
        <f>AJ41</f>
        <v>1181.1743999999999</v>
      </c>
    </row>
    <row r="39" spans="1:48" ht="30" customHeight="1" x14ac:dyDescent="0.25">
      <c r="A39" s="180"/>
      <c r="B39" s="141" t="s">
        <v>2143</v>
      </c>
      <c r="C39" s="132" t="s">
        <v>2141</v>
      </c>
      <c r="D39" s="176">
        <v>8.8800000000000008</v>
      </c>
      <c r="E39" s="178"/>
      <c r="F39" s="125">
        <f>$E$3*1000/800</f>
        <v>31.265625</v>
      </c>
      <c r="G39" s="105" t="str">
        <f t="shared" ref="G39:G41" si="3">IF(ABS(D39)&lt;F39,IF(ABS(E39)&lt;F39,"OK!","Tidak OK!"),"Tidak OK!")</f>
        <v>OK!</v>
      </c>
      <c r="H39" s="126" cm="1">
        <f t="array" ref="H39">ABS(F39/MAX(ABS(D39:E39)))</f>
        <v>3.5209037162162158</v>
      </c>
      <c r="J39" s="120"/>
      <c r="K39" s="120"/>
      <c r="L39" s="124">
        <f>F39</f>
        <v>31.265625</v>
      </c>
      <c r="M39" s="122"/>
      <c r="N39" s="120"/>
      <c r="O39" s="120"/>
      <c r="P39" s="124">
        <f>F41</f>
        <v>15</v>
      </c>
      <c r="W39" s="180"/>
      <c r="X39" s="105" t="s">
        <v>2040</v>
      </c>
      <c r="Y39" s="123">
        <f>'Hasil P2 Kuat I'!Q2</f>
        <v>107.63</v>
      </c>
      <c r="Z39" s="123">
        <f>'Hasil P2 Kuat I'!Q3</f>
        <v>-104.81</v>
      </c>
      <c r="AA39" s="125">
        <f>0.7*(MIN($Z$10:$Z$11)+$AD$9+$AD$10)</f>
        <v>611.30429945891035</v>
      </c>
      <c r="AB39" s="125" t="str">
        <f t="shared" ref="AB39" si="4">IF(ABS(Y39)&lt;AA39,IF(ABS(Z39)&lt;AA39,"OK!","Tidak OK!"),"Tidak OK!")</f>
        <v>OK!</v>
      </c>
      <c r="AC39" s="126" cm="1">
        <f t="array" ref="AC39">ABS(AA39/MAX(ABS(Y39:Z39)))</f>
        <v>5.6796831688089791</v>
      </c>
      <c r="AD39" s="128"/>
      <c r="AE39" s="180"/>
      <c r="AF39" s="141" t="s">
        <v>2143</v>
      </c>
      <c r="AG39" s="132" t="s">
        <v>2141</v>
      </c>
      <c r="AH39" s="123">
        <f t="shared" ref="AH39:AL39" si="5">Y40</f>
        <v>21.28</v>
      </c>
      <c r="AI39" s="123">
        <f t="shared" si="5"/>
        <v>-20.16</v>
      </c>
      <c r="AJ39" s="125">
        <f t="shared" si="5"/>
        <v>1181.1743999999999</v>
      </c>
      <c r="AK39" s="125" t="str">
        <f t="shared" si="5"/>
        <v>OK!</v>
      </c>
      <c r="AL39" s="126">
        <f t="shared" si="5"/>
        <v>55.506315789473675</v>
      </c>
      <c r="AN39" s="120"/>
      <c r="AO39" s="120"/>
      <c r="AP39" s="124">
        <f>AJ38</f>
        <v>1583.32622566186</v>
      </c>
      <c r="AQ39" s="124">
        <f>AJ39</f>
        <v>1181.1743999999999</v>
      </c>
      <c r="AS39" s="120"/>
      <c r="AT39" s="120"/>
      <c r="AU39" s="124">
        <f>AJ40</f>
        <v>611.30429945891035</v>
      </c>
      <c r="AV39" s="124">
        <f>AJ41</f>
        <v>1181.1743999999999</v>
      </c>
    </row>
    <row r="40" spans="1:48" ht="30" customHeight="1" x14ac:dyDescent="0.25">
      <c r="A40" s="180" t="s">
        <v>2040</v>
      </c>
      <c r="B40" s="141" t="s">
        <v>2074</v>
      </c>
      <c r="C40" s="141" t="s">
        <v>2116</v>
      </c>
      <c r="D40" s="176">
        <v>0.74</v>
      </c>
      <c r="E40" s="178"/>
      <c r="F40" s="105">
        <f>$N$3*1000/800</f>
        <v>15</v>
      </c>
      <c r="G40" s="105" t="str">
        <f t="shared" si="3"/>
        <v>OK!</v>
      </c>
      <c r="H40" s="126" cm="1">
        <f t="array" ref="H40">ABS(F40/MAX(ABS(D40:E40)))</f>
        <v>20.27027027027027</v>
      </c>
      <c r="J40" s="120" t="str">
        <f>C39</f>
        <v>Corrugated Steel Plate</v>
      </c>
      <c r="K40" s="120" cm="1">
        <f t="array" ref="K40">MAX(ABS(D39:E39))</f>
        <v>8.8800000000000008</v>
      </c>
      <c r="L40" s="124">
        <f>L39</f>
        <v>31.265625</v>
      </c>
      <c r="M40" s="122"/>
      <c r="N40" s="120" t="str">
        <f>C41</f>
        <v>Corrugated Steel Plate</v>
      </c>
      <c r="O40" s="120" cm="1">
        <f t="array" ref="O40">MAX(ABS(D41:E41))</f>
        <v>0.95</v>
      </c>
      <c r="P40" s="124">
        <f>P39</f>
        <v>15</v>
      </c>
      <c r="W40" s="180" t="s">
        <v>2089</v>
      </c>
      <c r="X40" s="105" t="s">
        <v>2039</v>
      </c>
      <c r="Y40" s="105">
        <v>21.28</v>
      </c>
      <c r="Z40" s="105">
        <v>-20.16</v>
      </c>
      <c r="AA40" s="125">
        <f>0.9*$AD$11</f>
        <v>1181.1743999999999</v>
      </c>
      <c r="AB40" s="125" t="str">
        <f t="shared" ref="AB40:AB41" si="6">IF(ABS(Y40)&lt;AA40,IF(ABS(Z40)&lt;AA40,"OK!","Tidak OK!"),"Tidak OK!")</f>
        <v>OK!</v>
      </c>
      <c r="AC40" s="126" cm="1">
        <f t="array" ref="AC40">ABS(AA40/MAX(ABS(Y40:Z40)))</f>
        <v>55.506315789473675</v>
      </c>
      <c r="AD40" s="128"/>
      <c r="AE40" s="180" t="s">
        <v>2040</v>
      </c>
      <c r="AF40" s="141" t="s">
        <v>2074</v>
      </c>
      <c r="AG40" s="141" t="s">
        <v>2116</v>
      </c>
      <c r="AH40" s="105">
        <f t="shared" ref="AH40:AL40" si="7">Y39</f>
        <v>107.63</v>
      </c>
      <c r="AI40" s="105">
        <f t="shared" si="7"/>
        <v>-104.81</v>
      </c>
      <c r="AJ40" s="125">
        <f t="shared" si="7"/>
        <v>611.30429945891035</v>
      </c>
      <c r="AK40" s="125" t="str">
        <f t="shared" si="7"/>
        <v>OK!</v>
      </c>
      <c r="AL40" s="126">
        <f t="shared" si="7"/>
        <v>5.6796831688089791</v>
      </c>
      <c r="AN40" s="120" t="str">
        <f>AG39</f>
        <v>Corrugated Steel Plate</v>
      </c>
      <c r="AO40" s="120" cm="1">
        <f t="array" ref="AO40">MAX(ABS(AH39:AI39))</f>
        <v>21.28</v>
      </c>
      <c r="AP40" s="124">
        <f>AP39</f>
        <v>1583.32622566186</v>
      </c>
      <c r="AQ40" s="124">
        <f>AQ39</f>
        <v>1181.1743999999999</v>
      </c>
      <c r="AS40" s="120" t="str">
        <f>AG41</f>
        <v>Corrugated Steel Plate</v>
      </c>
      <c r="AT40" s="120" cm="1">
        <f t="array" ref="AT40">MAX(ABS(AH41:AI41))</f>
        <v>23.77</v>
      </c>
      <c r="AU40" s="124">
        <f>AU39</f>
        <v>611.30429945891035</v>
      </c>
      <c r="AV40" s="124">
        <f>AV39</f>
        <v>1181.1743999999999</v>
      </c>
    </row>
    <row r="41" spans="1:48" ht="30" customHeight="1" x14ac:dyDescent="0.25">
      <c r="A41" s="180"/>
      <c r="B41" s="141" t="s">
        <v>2143</v>
      </c>
      <c r="C41" s="132" t="s">
        <v>2141</v>
      </c>
      <c r="D41" s="176">
        <v>0.95</v>
      </c>
      <c r="E41" s="178"/>
      <c r="F41" s="105">
        <f>$N$3*1000/800</f>
        <v>15</v>
      </c>
      <c r="G41" s="105" t="str">
        <f t="shared" si="3"/>
        <v>OK!</v>
      </c>
      <c r="H41" s="126" cm="1">
        <f t="array" ref="H41">ABS(F41/MAX(ABS(D41:E41)))</f>
        <v>15.789473684210527</v>
      </c>
      <c r="J41" s="122"/>
      <c r="K41" s="122"/>
      <c r="L41" s="122"/>
      <c r="M41" s="122"/>
      <c r="N41" s="122"/>
      <c r="O41" s="122"/>
      <c r="P41" s="122"/>
      <c r="W41" s="180"/>
      <c r="X41" s="105" t="s">
        <v>2040</v>
      </c>
      <c r="Y41" s="105">
        <v>23.77</v>
      </c>
      <c r="Z41" s="105">
        <v>-22.36</v>
      </c>
      <c r="AA41" s="125">
        <f>0.9*$AD$11</f>
        <v>1181.1743999999999</v>
      </c>
      <c r="AB41" s="125" t="str">
        <f t="shared" si="6"/>
        <v>OK!</v>
      </c>
      <c r="AC41" s="126" cm="1">
        <f t="array" ref="AC41">ABS(AA41/MAX(ABS(Y41:Z41)))</f>
        <v>49.691813209928476</v>
      </c>
      <c r="AD41" s="128"/>
      <c r="AE41" s="180"/>
      <c r="AF41" s="141" t="s">
        <v>2143</v>
      </c>
      <c r="AG41" s="132" t="s">
        <v>2141</v>
      </c>
      <c r="AH41" s="105">
        <f t="shared" ref="AH41:AL41" si="8">Y41</f>
        <v>23.77</v>
      </c>
      <c r="AI41" s="105">
        <f t="shared" si="8"/>
        <v>-22.36</v>
      </c>
      <c r="AJ41" s="125">
        <f t="shared" si="8"/>
        <v>1181.1743999999999</v>
      </c>
      <c r="AK41" s="125" t="str">
        <f t="shared" si="8"/>
        <v>OK!</v>
      </c>
      <c r="AL41" s="126">
        <f t="shared" si="8"/>
        <v>49.691813209928476</v>
      </c>
    </row>
    <row r="59" spans="1:18" ht="30" customHeight="1" x14ac:dyDescent="0.25">
      <c r="A59" s="176" t="s">
        <v>2091</v>
      </c>
      <c r="B59" s="177"/>
      <c r="C59" s="177"/>
      <c r="D59" s="177"/>
      <c r="E59" s="177"/>
      <c r="F59" s="178"/>
      <c r="G59" s="129"/>
      <c r="H59" s="129"/>
      <c r="I59" s="129"/>
      <c r="K59" s="120" t="str">
        <f>A61</f>
        <v>P1</v>
      </c>
      <c r="L59" s="121" t="str">
        <f>$G$60</f>
        <v>Mohr-Coulumb</v>
      </c>
      <c r="M59" s="121" t="str">
        <f>$H$60</f>
        <v>σ ult</v>
      </c>
      <c r="O59" s="180" t="s">
        <v>2136</v>
      </c>
      <c r="P59" s="180"/>
      <c r="Q59" s="180"/>
      <c r="R59" s="180"/>
    </row>
    <row r="60" spans="1:18" x14ac:dyDescent="0.25">
      <c r="A60" s="129" t="s">
        <v>2117</v>
      </c>
      <c r="B60" s="141" t="s">
        <v>2036</v>
      </c>
      <c r="C60" s="105" t="s">
        <v>2142</v>
      </c>
      <c r="D60" s="105" t="s">
        <v>2067</v>
      </c>
      <c r="E60" s="105" t="s">
        <v>2068</v>
      </c>
      <c r="F60" s="105" t="s">
        <v>2069</v>
      </c>
      <c r="G60" s="105" t="s">
        <v>2114</v>
      </c>
      <c r="H60" s="105" t="s">
        <v>2124</v>
      </c>
      <c r="I60" s="123" t="s">
        <v>2087</v>
      </c>
      <c r="K60" s="121"/>
      <c r="L60" s="120"/>
      <c r="M60" s="124">
        <f>M61</f>
        <v>0.8</v>
      </c>
      <c r="O60" s="137" t="s">
        <v>2124</v>
      </c>
      <c r="P60" s="136" t="s">
        <v>2133</v>
      </c>
      <c r="Q60" s="180" t="s">
        <v>2043</v>
      </c>
      <c r="R60" s="180"/>
    </row>
    <row r="61" spans="1:18" ht="30" customHeight="1" x14ac:dyDescent="0.25">
      <c r="A61" s="180" t="s">
        <v>2039</v>
      </c>
      <c r="B61" s="141" t="s">
        <v>2074</v>
      </c>
      <c r="C61" s="105" t="s">
        <v>2147</v>
      </c>
      <c r="D61" s="125">
        <v>0.03</v>
      </c>
      <c r="E61" s="125">
        <v>-0.11</v>
      </c>
      <c r="F61" s="125">
        <v>-0.71</v>
      </c>
      <c r="G61" s="105">
        <f>ABS(D61-F61)</f>
        <v>0.74</v>
      </c>
      <c r="H61" s="125">
        <v>0.8</v>
      </c>
      <c r="I61" s="125">
        <f>ABS(H61/G61)</f>
        <v>1.0810810810810811</v>
      </c>
      <c r="J61" s="112">
        <f>SQRT(1/2*((D61-E61)^2+(E61-F61)^2+(F61-D61)^2))</f>
        <v>0.68088178122196807</v>
      </c>
      <c r="K61" s="120" t="str">
        <f>C61</f>
        <v>Komposit CSP+Beton</v>
      </c>
      <c r="L61" s="120">
        <f>MAX(ABS(G61))</f>
        <v>0.74</v>
      </c>
      <c r="M61" s="124">
        <f>H61</f>
        <v>0.8</v>
      </c>
      <c r="O61" s="161" t="s">
        <v>2132</v>
      </c>
      <c r="P61" s="138">
        <f>-8.52*9.81/100</f>
        <v>-0.835812</v>
      </c>
      <c r="Q61" s="183" t="s">
        <v>2139</v>
      </c>
      <c r="R61" s="183"/>
    </row>
    <row r="62" spans="1:18" ht="30" x14ac:dyDescent="0.25">
      <c r="A62" s="180"/>
      <c r="B62" s="141" t="s">
        <v>2143</v>
      </c>
      <c r="C62" s="132" t="s">
        <v>181</v>
      </c>
      <c r="D62" s="125">
        <v>0.06</v>
      </c>
      <c r="E62" s="125">
        <v>0</v>
      </c>
      <c r="F62" s="125">
        <v>-0.69</v>
      </c>
      <c r="G62" s="105">
        <f t="shared" ref="G62" si="9">ABS(D62-F62)</f>
        <v>0.75</v>
      </c>
      <c r="H62" s="125">
        <v>0.8</v>
      </c>
      <c r="I62" s="125">
        <f>ABS(H62/G62)</f>
        <v>1.0666666666666667</v>
      </c>
      <c r="J62" s="112">
        <f>SQRT(1/2*((D62-E62)^2+(E62-F62)^2+(F62-D62)^2))</f>
        <v>0.72187256493095786</v>
      </c>
      <c r="K62" s="120"/>
      <c r="L62" s="120"/>
      <c r="M62" s="124">
        <f>H62</f>
        <v>0.8</v>
      </c>
      <c r="O62" s="162"/>
      <c r="P62" s="138">
        <f>P61/0.85</f>
        <v>-0.98330823529411771</v>
      </c>
      <c r="Q62" s="183" t="s">
        <v>2140</v>
      </c>
      <c r="R62" s="183"/>
    </row>
    <row r="63" spans="1:18" ht="30" x14ac:dyDescent="0.25">
      <c r="K63" s="120" t="str">
        <f>C62</f>
        <v>Corrugated Steel</v>
      </c>
      <c r="L63" s="120">
        <f>MAX(ABS(G62))</f>
        <v>0.75</v>
      </c>
      <c r="M63" s="124">
        <f>M62</f>
        <v>0.8</v>
      </c>
      <c r="O63" s="137" t="s">
        <v>2134</v>
      </c>
      <c r="P63" s="138">
        <f>-P62*0.11</f>
        <v>0.10816390588235295</v>
      </c>
      <c r="Q63" s="183" t="s">
        <v>2135</v>
      </c>
      <c r="R63" s="183"/>
    </row>
    <row r="64" spans="1:18" x14ac:dyDescent="0.25">
      <c r="Q64" s="184"/>
      <c r="R64" s="184"/>
    </row>
    <row r="65" spans="1:18" ht="15" customHeight="1" x14ac:dyDescent="0.25">
      <c r="A65" s="180" t="s">
        <v>2092</v>
      </c>
      <c r="B65" s="180"/>
      <c r="C65" s="180"/>
      <c r="D65" s="180"/>
      <c r="E65" s="180"/>
      <c r="F65" s="180"/>
      <c r="G65" s="180"/>
      <c r="H65" s="180"/>
      <c r="I65" s="180"/>
      <c r="K65" s="120" t="str">
        <f>A67</f>
        <v>P1</v>
      </c>
      <c r="L65" s="121" t="str">
        <f>$G$60</f>
        <v>Mohr-Coulumb</v>
      </c>
      <c r="M65" s="121" t="str">
        <f>$H$60</f>
        <v>σ ult</v>
      </c>
      <c r="O65" s="180" t="s">
        <v>2137</v>
      </c>
      <c r="P65" s="180"/>
      <c r="Q65" s="180"/>
      <c r="R65" s="180"/>
    </row>
    <row r="66" spans="1:18" x14ac:dyDescent="0.25">
      <c r="A66" s="129" t="s">
        <v>2117</v>
      </c>
      <c r="B66" s="141" t="s">
        <v>2036</v>
      </c>
      <c r="C66" s="105" t="s">
        <v>2036</v>
      </c>
      <c r="D66" s="105" t="s">
        <v>2067</v>
      </c>
      <c r="E66" s="105" t="s">
        <v>2068</v>
      </c>
      <c r="F66" s="105" t="s">
        <v>2069</v>
      </c>
      <c r="G66" s="105" t="s">
        <v>2114</v>
      </c>
      <c r="H66" s="105" t="s">
        <v>2124</v>
      </c>
      <c r="I66" s="123" t="s">
        <v>2087</v>
      </c>
      <c r="K66" s="121"/>
      <c r="L66" s="120"/>
      <c r="M66" s="124">
        <f>M67</f>
        <v>2</v>
      </c>
      <c r="O66" s="137" t="s">
        <v>2124</v>
      </c>
      <c r="P66" s="136" t="s">
        <v>2133</v>
      </c>
      <c r="Q66" s="180" t="s">
        <v>2043</v>
      </c>
      <c r="R66" s="180"/>
    </row>
    <row r="67" spans="1:18" ht="45" x14ac:dyDescent="0.25">
      <c r="A67" s="180" t="s">
        <v>2039</v>
      </c>
      <c r="B67" s="141" t="s">
        <v>2074</v>
      </c>
      <c r="C67" s="105" t="s">
        <v>2147</v>
      </c>
      <c r="D67" s="125">
        <v>0.24</v>
      </c>
      <c r="E67" s="125">
        <v>-0.1</v>
      </c>
      <c r="F67" s="125">
        <v>-0.56999999999999995</v>
      </c>
      <c r="G67" s="105">
        <f>ABS(D67-F67)</f>
        <v>0.80999999999999994</v>
      </c>
      <c r="H67" s="125">
        <v>2</v>
      </c>
      <c r="I67" s="125">
        <f>ABS(H67/G67)</f>
        <v>2.4691358024691361</v>
      </c>
      <c r="K67" s="120" t="str">
        <f>C67</f>
        <v>Komposit CSP+Beton</v>
      </c>
      <c r="L67" s="120">
        <f>MAX(ABS(G67))</f>
        <v>0.80999999999999994</v>
      </c>
      <c r="M67" s="124">
        <f>H67</f>
        <v>2</v>
      </c>
      <c r="O67" s="161" t="s">
        <v>2132</v>
      </c>
      <c r="P67" s="138">
        <f>-20*9.81/100</f>
        <v>-1.9620000000000002</v>
      </c>
      <c r="Q67" s="183" t="s">
        <v>2138</v>
      </c>
      <c r="R67" s="183"/>
    </row>
    <row r="68" spans="1:18" ht="30" customHeight="1" x14ac:dyDescent="0.25">
      <c r="A68" s="180"/>
      <c r="B68" s="141" t="s">
        <v>2143</v>
      </c>
      <c r="C68" s="132" t="s">
        <v>181</v>
      </c>
      <c r="D68" s="125">
        <v>0.4</v>
      </c>
      <c r="E68" s="125">
        <v>0.04</v>
      </c>
      <c r="F68" s="125">
        <v>-0.4</v>
      </c>
      <c r="G68" s="105">
        <f t="shared" ref="G68" si="10">ABS(D68-F68)</f>
        <v>0.8</v>
      </c>
      <c r="H68" s="125">
        <v>2</v>
      </c>
      <c r="I68" s="125">
        <f>ABS(H68/G68)</f>
        <v>2.5</v>
      </c>
      <c r="K68" s="120"/>
      <c r="L68" s="120"/>
      <c r="M68" s="124">
        <f>H68</f>
        <v>2</v>
      </c>
      <c r="O68" s="162"/>
      <c r="P68" s="138">
        <f>P67/0.85</f>
        <v>-2.3082352941176474</v>
      </c>
      <c r="Q68" s="183" t="s">
        <v>2140</v>
      </c>
      <c r="R68" s="183"/>
    </row>
    <row r="69" spans="1:18" ht="30" x14ac:dyDescent="0.25">
      <c r="K69" s="120" t="str">
        <f>C68</f>
        <v>Corrugated Steel</v>
      </c>
      <c r="L69" s="120">
        <f>MAX(ABS(G68))</f>
        <v>0.8</v>
      </c>
      <c r="M69" s="124">
        <f>M68</f>
        <v>2</v>
      </c>
      <c r="O69" s="137" t="s">
        <v>2134</v>
      </c>
      <c r="P69" s="138">
        <f>-P68*0.11</f>
        <v>0.2539058823529412</v>
      </c>
      <c r="Q69" s="183" t="s">
        <v>2135</v>
      </c>
      <c r="R69" s="183"/>
    </row>
    <row r="98" spans="1:8" x14ac:dyDescent="0.25">
      <c r="A98" s="180" t="s">
        <v>2086</v>
      </c>
      <c r="B98" s="180"/>
      <c r="C98" s="180"/>
      <c r="D98" s="180"/>
      <c r="E98" s="180"/>
      <c r="F98" s="180"/>
      <c r="G98" s="180"/>
      <c r="H98" s="180"/>
    </row>
    <row r="99" spans="1:8" x14ac:dyDescent="0.25">
      <c r="A99" s="105" t="s">
        <v>2036</v>
      </c>
      <c r="B99" s="141"/>
      <c r="C99" s="105" t="s">
        <v>2038</v>
      </c>
      <c r="D99" s="105" t="s">
        <v>2041</v>
      </c>
      <c r="E99" s="105" t="s">
        <v>2042</v>
      </c>
      <c r="F99" s="105" t="s">
        <v>2048</v>
      </c>
      <c r="G99" s="105" t="s">
        <v>2043</v>
      </c>
      <c r="H99" s="105" t="s">
        <v>2087</v>
      </c>
    </row>
    <row r="100" spans="1:8" x14ac:dyDescent="0.25">
      <c r="A100" s="180" t="s">
        <v>2037</v>
      </c>
      <c r="B100" s="141"/>
      <c r="C100" s="105" t="s">
        <v>2039</v>
      </c>
      <c r="D100" s="105">
        <v>53.95</v>
      </c>
      <c r="E100" s="105">
        <v>-28.82</v>
      </c>
      <c r="F100" s="125">
        <f>$E$9</f>
        <v>169.58547686563779</v>
      </c>
      <c r="G100" s="105" t="str">
        <f>IF(ABS(D100)&lt;F100,IF(ABS(E100)&lt;F100,"OK!","Tidak OK!"),"Tidak OK!")</f>
        <v>OK!</v>
      </c>
      <c r="H100" s="126" cm="1">
        <f t="array" ref="H100">ABS(F100/MAX(ABS(D100:E100)))</f>
        <v>3.1433823330053343</v>
      </c>
    </row>
    <row r="101" spans="1:8" x14ac:dyDescent="0.25">
      <c r="A101" s="180"/>
      <c r="B101" s="141"/>
      <c r="C101" s="105" t="s">
        <v>2040</v>
      </c>
      <c r="D101" s="105" t="s">
        <v>93</v>
      </c>
      <c r="E101" s="105" t="s">
        <v>93</v>
      </c>
      <c r="F101" s="105" t="s">
        <v>93</v>
      </c>
      <c r="G101" s="105" t="s">
        <v>93</v>
      </c>
      <c r="H101" s="126" t="s">
        <v>93</v>
      </c>
    </row>
    <row r="102" spans="1:8" x14ac:dyDescent="0.25">
      <c r="A102" s="180" t="s">
        <v>2089</v>
      </c>
      <c r="B102" s="141"/>
      <c r="C102" s="105" t="s">
        <v>2039</v>
      </c>
      <c r="D102" s="105">
        <v>63.87</v>
      </c>
      <c r="E102" s="105">
        <v>-47.07</v>
      </c>
      <c r="F102" s="125">
        <f>$E$9</f>
        <v>169.58547686563779</v>
      </c>
      <c r="G102" s="105" t="str">
        <f t="shared" ref="G102:G103" si="11">IF(ABS(D102)&lt;F102,IF(ABS(E102)&lt;F102,"OK!","Tidak OK!"),"Tidak OK!")</f>
        <v>OK!</v>
      </c>
      <c r="H102" s="126" cm="1">
        <f t="array" ref="H102">ABS(F102/MAX(ABS(D102:E102)))</f>
        <v>2.6551663827405321</v>
      </c>
    </row>
    <row r="103" spans="1:8" x14ac:dyDescent="0.25">
      <c r="A103" s="180"/>
      <c r="B103" s="141"/>
      <c r="C103" s="105" t="s">
        <v>2040</v>
      </c>
      <c r="D103" s="105">
        <v>29.36</v>
      </c>
      <c r="E103" s="105">
        <v>-71.13</v>
      </c>
      <c r="F103" s="125">
        <f>$N$9</f>
        <v>172.8228280349426</v>
      </c>
      <c r="G103" s="105" t="str">
        <f t="shared" si="11"/>
        <v>OK!</v>
      </c>
      <c r="H103" s="126" cm="1">
        <f t="array" ref="H103">ABS(F103/MAX(ABS(D103:E103)))</f>
        <v>2.4296756366503951</v>
      </c>
    </row>
    <row r="110" spans="1:8" x14ac:dyDescent="0.25">
      <c r="A110" s="180" t="s">
        <v>2091</v>
      </c>
      <c r="B110" s="180"/>
      <c r="C110" s="180"/>
      <c r="D110" s="180"/>
      <c r="E110" s="180"/>
      <c r="F110" s="180"/>
      <c r="G110" s="180"/>
      <c r="H110" s="180"/>
    </row>
    <row r="111" spans="1:8" x14ac:dyDescent="0.25">
      <c r="A111" s="105" t="s">
        <v>2036</v>
      </c>
      <c r="B111" s="141"/>
      <c r="C111" s="105" t="s">
        <v>2038</v>
      </c>
      <c r="D111" s="105" t="s">
        <v>2067</v>
      </c>
      <c r="E111" s="105" t="s">
        <v>2068</v>
      </c>
      <c r="F111" s="105" t="s">
        <v>2069</v>
      </c>
      <c r="G111" s="105" t="s">
        <v>2114</v>
      </c>
      <c r="H111" s="105" t="s">
        <v>2090</v>
      </c>
    </row>
    <row r="112" spans="1:8" x14ac:dyDescent="0.25">
      <c r="A112" s="105" t="s">
        <v>2037</v>
      </c>
      <c r="B112" s="141"/>
      <c r="C112" s="105" t="s">
        <v>2039</v>
      </c>
      <c r="D112" s="125">
        <v>0.03</v>
      </c>
      <c r="E112" s="125">
        <v>-0.11</v>
      </c>
      <c r="F112" s="125">
        <v>-0.71</v>
      </c>
      <c r="G112" s="105">
        <f>ABS(D112-F112)</f>
        <v>0.74</v>
      </c>
      <c r="H112" s="125">
        <v>0.67</v>
      </c>
    </row>
    <row r="113" spans="1:8" ht="30" x14ac:dyDescent="0.25">
      <c r="A113" s="105" t="s">
        <v>2089</v>
      </c>
      <c r="B113" s="141"/>
      <c r="C113" s="105" t="s">
        <v>2039</v>
      </c>
      <c r="D113" s="125">
        <v>0.06</v>
      </c>
      <c r="E113" s="125">
        <v>0</v>
      </c>
      <c r="F113" s="125">
        <v>-0.69</v>
      </c>
      <c r="G113" s="105">
        <f t="shared" ref="G113" si="12">ABS(D113-F113)</f>
        <v>0.75</v>
      </c>
      <c r="H113" s="125">
        <v>0.7</v>
      </c>
    </row>
    <row r="114" spans="1:8" x14ac:dyDescent="0.25">
      <c r="A114" s="112" t="s">
        <v>2070</v>
      </c>
    </row>
    <row r="115" spans="1:8" ht="75" x14ac:dyDescent="0.25">
      <c r="A115" s="130" t="s">
        <v>2088</v>
      </c>
      <c r="B115" s="130"/>
    </row>
    <row r="117" spans="1:8" x14ac:dyDescent="0.25">
      <c r="A117" s="180" t="s">
        <v>2092</v>
      </c>
      <c r="B117" s="180"/>
      <c r="C117" s="180"/>
      <c r="D117" s="180"/>
      <c r="E117" s="180"/>
      <c r="F117" s="180"/>
      <c r="G117" s="180"/>
      <c r="H117" s="180"/>
    </row>
    <row r="118" spans="1:8" x14ac:dyDescent="0.25">
      <c r="A118" s="105" t="s">
        <v>2036</v>
      </c>
      <c r="B118" s="141"/>
      <c r="C118" s="105" t="s">
        <v>2038</v>
      </c>
      <c r="D118" s="105" t="s">
        <v>2067</v>
      </c>
      <c r="E118" s="105" t="s">
        <v>2068</v>
      </c>
      <c r="F118" s="105" t="s">
        <v>2069</v>
      </c>
      <c r="G118" s="105" t="s">
        <v>2114</v>
      </c>
      <c r="H118" s="105" t="s">
        <v>2090</v>
      </c>
    </row>
    <row r="119" spans="1:8" x14ac:dyDescent="0.25">
      <c r="A119" s="105" t="s">
        <v>2037</v>
      </c>
      <c r="B119" s="141"/>
      <c r="C119" s="105" t="s">
        <v>2039</v>
      </c>
      <c r="D119" s="125">
        <v>0.51</v>
      </c>
      <c r="E119" s="125">
        <v>-0.1</v>
      </c>
      <c r="F119" s="125">
        <v>-0.56999999999999995</v>
      </c>
      <c r="G119" s="105">
        <f>ABS(D119-F119)</f>
        <v>1.08</v>
      </c>
      <c r="H119" s="125">
        <v>0.68</v>
      </c>
    </row>
    <row r="120" spans="1:8" ht="30" x14ac:dyDescent="0.25">
      <c r="A120" s="105" t="s">
        <v>2089</v>
      </c>
      <c r="B120" s="141"/>
      <c r="C120" s="105" t="s">
        <v>2039</v>
      </c>
      <c r="D120" s="125">
        <v>0.51</v>
      </c>
      <c r="E120" s="125">
        <v>0.01</v>
      </c>
      <c r="F120" s="125">
        <v>-0.56000000000000005</v>
      </c>
      <c r="G120" s="105">
        <f t="shared" ref="G120" si="13">ABS(D120-F120)</f>
        <v>1.07</v>
      </c>
      <c r="H120" s="125">
        <v>0.67</v>
      </c>
    </row>
    <row r="121" spans="1:8" x14ac:dyDescent="0.25">
      <c r="A121" s="112" t="s">
        <v>2070</v>
      </c>
    </row>
    <row r="122" spans="1:8" ht="75" x14ac:dyDescent="0.25">
      <c r="A122" s="130" t="s">
        <v>2088</v>
      </c>
      <c r="B122" s="130"/>
    </row>
  </sheetData>
  <mergeCells count="51">
    <mergeCell ref="Q67:R67"/>
    <mergeCell ref="Q68:R68"/>
    <mergeCell ref="Q69:R69"/>
    <mergeCell ref="O67:O68"/>
    <mergeCell ref="AL16:AL17"/>
    <mergeCell ref="AL18:AL19"/>
    <mergeCell ref="AE40:AE41"/>
    <mergeCell ref="A61:A62"/>
    <mergeCell ref="AE16:AE17"/>
    <mergeCell ref="AE18:AE19"/>
    <mergeCell ref="AE36:AL36"/>
    <mergeCell ref="AE38:AE39"/>
    <mergeCell ref="O59:R59"/>
    <mergeCell ref="Q60:R60"/>
    <mergeCell ref="Q61:R61"/>
    <mergeCell ref="Q62:R62"/>
    <mergeCell ref="O61:O62"/>
    <mergeCell ref="A59:F59"/>
    <mergeCell ref="W38:W39"/>
    <mergeCell ref="A100:A101"/>
    <mergeCell ref="A98:H98"/>
    <mergeCell ref="A102:A103"/>
    <mergeCell ref="W36:AC36"/>
    <mergeCell ref="A36:H36"/>
    <mergeCell ref="W40:W41"/>
    <mergeCell ref="D38:E38"/>
    <mergeCell ref="D39:E39"/>
    <mergeCell ref="D40:E40"/>
    <mergeCell ref="D41:E41"/>
    <mergeCell ref="A67:A68"/>
    <mergeCell ref="A65:I65"/>
    <mergeCell ref="Q63:R63"/>
    <mergeCell ref="Q64:R64"/>
    <mergeCell ref="O65:R65"/>
    <mergeCell ref="Q66:R66"/>
    <mergeCell ref="AE14:AK14"/>
    <mergeCell ref="A1:A12"/>
    <mergeCell ref="K1:K12"/>
    <mergeCell ref="A117:H117"/>
    <mergeCell ref="W4:W7"/>
    <mergeCell ref="W8:W11"/>
    <mergeCell ref="A16:A17"/>
    <mergeCell ref="A18:A19"/>
    <mergeCell ref="W14:AB14"/>
    <mergeCell ref="W16:W17"/>
    <mergeCell ref="W18:W19"/>
    <mergeCell ref="A38:A39"/>
    <mergeCell ref="A40:A41"/>
    <mergeCell ref="D37:E37"/>
    <mergeCell ref="A110:H110"/>
    <mergeCell ref="A14:H14"/>
  </mergeCells>
  <phoneticPr fontId="1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A64B-6327-49BA-9B5F-5DDE3BE78C9A}">
  <sheetPr codeName="Sheet2"/>
  <dimension ref="A1:G40"/>
  <sheetViews>
    <sheetView topLeftCell="D13" workbookViewId="0">
      <selection activeCell="S18" sqref="S18"/>
    </sheetView>
  </sheetViews>
  <sheetFormatPr defaultRowHeight="15" x14ac:dyDescent="0.25"/>
  <cols>
    <col min="3" max="3" width="10.5703125" bestFit="1" customWidth="1"/>
    <col min="5" max="5" width="11.5703125" bestFit="1" customWidth="1"/>
  </cols>
  <sheetData>
    <row r="1" spans="1:7" x14ac:dyDescent="0.25">
      <c r="A1" s="156" t="s">
        <v>9</v>
      </c>
      <c r="B1" s="156"/>
      <c r="C1" s="156"/>
      <c r="D1" s="156"/>
      <c r="E1" s="156"/>
      <c r="F1" s="156"/>
      <c r="G1" s="156"/>
    </row>
    <row r="2" spans="1:7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2" t="s">
        <v>7</v>
      </c>
      <c r="G2" s="1" t="s">
        <v>5</v>
      </c>
    </row>
    <row r="3" spans="1:7" x14ac:dyDescent="0.25">
      <c r="A3" s="1"/>
      <c r="B3" s="1"/>
      <c r="C3" s="1" t="s">
        <v>3</v>
      </c>
      <c r="D3" s="1" t="s">
        <v>3</v>
      </c>
      <c r="E3" s="1" t="s">
        <v>6</v>
      </c>
      <c r="F3" s="1"/>
      <c r="G3" s="1" t="s">
        <v>8</v>
      </c>
    </row>
    <row r="4" spans="1:7" x14ac:dyDescent="0.25">
      <c r="A4" s="1">
        <v>1</v>
      </c>
      <c r="B4" s="1">
        <v>7</v>
      </c>
      <c r="C4" s="1">
        <v>2</v>
      </c>
      <c r="D4" s="1">
        <f>C4</f>
        <v>2</v>
      </c>
      <c r="E4" s="3">
        <f>D4/B4</f>
        <v>0.2857142857142857</v>
      </c>
      <c r="F4" s="157">
        <f>SUM(E4:E18)</f>
        <v>3.0270832307299376</v>
      </c>
      <c r="G4" s="157">
        <f>30/F4</f>
        <v>9.9105302739779422</v>
      </c>
    </row>
    <row r="5" spans="1:7" x14ac:dyDescent="0.25">
      <c r="A5" s="1">
        <v>2</v>
      </c>
      <c r="B5" s="1">
        <v>3</v>
      </c>
      <c r="C5" s="1">
        <v>4</v>
      </c>
      <c r="D5" s="1">
        <f>C5-C4</f>
        <v>2</v>
      </c>
      <c r="E5" s="3">
        <f t="shared" ref="E5:E18" si="0">D5/B5</f>
        <v>0.66666666666666663</v>
      </c>
      <c r="F5" s="158"/>
      <c r="G5" s="158"/>
    </row>
    <row r="6" spans="1:7" x14ac:dyDescent="0.25">
      <c r="A6" s="1">
        <v>3</v>
      </c>
      <c r="B6" s="1">
        <v>4</v>
      </c>
      <c r="C6" s="1">
        <v>6</v>
      </c>
      <c r="D6" s="1">
        <f t="shared" ref="D6:D18" si="1">C6-C5</f>
        <v>2</v>
      </c>
      <c r="E6" s="3">
        <f t="shared" si="0"/>
        <v>0.5</v>
      </c>
      <c r="F6" s="158"/>
      <c r="G6" s="158"/>
    </row>
    <row r="7" spans="1:7" x14ac:dyDescent="0.25">
      <c r="A7" s="1">
        <v>4</v>
      </c>
      <c r="B7" s="1">
        <v>7</v>
      </c>
      <c r="C7" s="1">
        <v>8</v>
      </c>
      <c r="D7" s="1">
        <f t="shared" si="1"/>
        <v>2</v>
      </c>
      <c r="E7" s="3">
        <f t="shared" si="0"/>
        <v>0.2857142857142857</v>
      </c>
      <c r="F7" s="158"/>
      <c r="G7" s="158"/>
    </row>
    <row r="8" spans="1:7" x14ac:dyDescent="0.25">
      <c r="A8" s="1">
        <v>5</v>
      </c>
      <c r="B8" s="1">
        <v>5</v>
      </c>
      <c r="C8" s="1">
        <v>10</v>
      </c>
      <c r="D8" s="1">
        <f t="shared" si="1"/>
        <v>2</v>
      </c>
      <c r="E8" s="3">
        <f t="shared" si="0"/>
        <v>0.4</v>
      </c>
      <c r="F8" s="158"/>
      <c r="G8" s="158"/>
    </row>
    <row r="9" spans="1:7" x14ac:dyDescent="0.25">
      <c r="A9" s="1">
        <v>6</v>
      </c>
      <c r="B9" s="1">
        <v>10</v>
      </c>
      <c r="C9" s="1">
        <v>12</v>
      </c>
      <c r="D9" s="1">
        <f t="shared" si="1"/>
        <v>2</v>
      </c>
      <c r="E9" s="3">
        <f t="shared" si="0"/>
        <v>0.2</v>
      </c>
      <c r="F9" s="158"/>
      <c r="G9" s="158"/>
    </row>
    <row r="10" spans="1:7" x14ac:dyDescent="0.25">
      <c r="A10" s="1">
        <v>7</v>
      </c>
      <c r="B10" s="1">
        <v>21</v>
      </c>
      <c r="C10" s="1">
        <v>14</v>
      </c>
      <c r="D10" s="1">
        <f t="shared" si="1"/>
        <v>2</v>
      </c>
      <c r="E10" s="3">
        <f t="shared" si="0"/>
        <v>9.5238095238095233E-2</v>
      </c>
      <c r="F10" s="158"/>
      <c r="G10" s="158"/>
    </row>
    <row r="11" spans="1:7" x14ac:dyDescent="0.25">
      <c r="A11" s="1">
        <v>8</v>
      </c>
      <c r="B11" s="1">
        <v>22</v>
      </c>
      <c r="C11" s="1">
        <v>16</v>
      </c>
      <c r="D11" s="1">
        <f t="shared" si="1"/>
        <v>2</v>
      </c>
      <c r="E11" s="3">
        <f t="shared" si="0"/>
        <v>9.0909090909090912E-2</v>
      </c>
      <c r="F11" s="158"/>
      <c r="G11" s="158"/>
    </row>
    <row r="12" spans="1:7" x14ac:dyDescent="0.25">
      <c r="A12" s="1">
        <v>9</v>
      </c>
      <c r="B12" s="1">
        <v>28</v>
      </c>
      <c r="C12" s="1">
        <v>18</v>
      </c>
      <c r="D12" s="1">
        <f t="shared" si="1"/>
        <v>2</v>
      </c>
      <c r="E12" s="3">
        <f t="shared" si="0"/>
        <v>7.1428571428571425E-2</v>
      </c>
      <c r="F12" s="158"/>
      <c r="G12" s="158"/>
    </row>
    <row r="13" spans="1:7" x14ac:dyDescent="0.25">
      <c r="A13" s="1">
        <v>10</v>
      </c>
      <c r="B13" s="1">
        <v>29</v>
      </c>
      <c r="C13" s="1">
        <v>20</v>
      </c>
      <c r="D13" s="1">
        <f t="shared" si="1"/>
        <v>2</v>
      </c>
      <c r="E13" s="3">
        <f t="shared" si="0"/>
        <v>6.8965517241379309E-2</v>
      </c>
      <c r="F13" s="158"/>
      <c r="G13" s="158"/>
    </row>
    <row r="14" spans="1:7" x14ac:dyDescent="0.25">
      <c r="A14" s="1">
        <v>11</v>
      </c>
      <c r="B14" s="1">
        <v>34</v>
      </c>
      <c r="C14" s="1">
        <v>22</v>
      </c>
      <c r="D14" s="1">
        <f t="shared" si="1"/>
        <v>2</v>
      </c>
      <c r="E14" s="3">
        <f t="shared" si="0"/>
        <v>5.8823529411764705E-2</v>
      </c>
      <c r="F14" s="158"/>
      <c r="G14" s="158"/>
    </row>
    <row r="15" spans="1:7" x14ac:dyDescent="0.25">
      <c r="A15" s="1">
        <v>12</v>
      </c>
      <c r="B15" s="1">
        <v>30</v>
      </c>
      <c r="C15" s="1">
        <v>24</v>
      </c>
      <c r="D15" s="1">
        <f t="shared" si="1"/>
        <v>2</v>
      </c>
      <c r="E15" s="3">
        <f t="shared" si="0"/>
        <v>6.6666666666666666E-2</v>
      </c>
      <c r="F15" s="158"/>
      <c r="G15" s="158"/>
    </row>
    <row r="16" spans="1:7" x14ac:dyDescent="0.25">
      <c r="A16" s="1">
        <v>13</v>
      </c>
      <c r="B16" s="1">
        <v>30</v>
      </c>
      <c r="C16" s="1">
        <v>26</v>
      </c>
      <c r="D16" s="1">
        <f t="shared" si="1"/>
        <v>2</v>
      </c>
      <c r="E16" s="3">
        <f t="shared" si="0"/>
        <v>6.6666666666666666E-2</v>
      </c>
      <c r="F16" s="158"/>
      <c r="G16" s="158"/>
    </row>
    <row r="17" spans="1:7" x14ac:dyDescent="0.25">
      <c r="A17" s="1">
        <v>14</v>
      </c>
      <c r="B17" s="1">
        <v>23</v>
      </c>
      <c r="C17" s="1">
        <v>28</v>
      </c>
      <c r="D17" s="1">
        <f t="shared" si="1"/>
        <v>2</v>
      </c>
      <c r="E17" s="3">
        <f t="shared" si="0"/>
        <v>8.6956521739130432E-2</v>
      </c>
      <c r="F17" s="158"/>
      <c r="G17" s="158"/>
    </row>
    <row r="18" spans="1:7" x14ac:dyDescent="0.25">
      <c r="A18" s="1">
        <v>15</v>
      </c>
      <c r="B18" s="1">
        <v>24</v>
      </c>
      <c r="C18" s="1">
        <v>30</v>
      </c>
      <c r="D18" s="1">
        <f t="shared" si="1"/>
        <v>2</v>
      </c>
      <c r="E18" s="3">
        <f t="shared" si="0"/>
        <v>8.3333333333333329E-2</v>
      </c>
      <c r="F18" s="158"/>
      <c r="G18" s="158"/>
    </row>
    <row r="19" spans="1:7" x14ac:dyDescent="0.25">
      <c r="A19" s="156" t="s">
        <v>10</v>
      </c>
      <c r="B19" s="156"/>
      <c r="C19" s="156"/>
      <c r="D19" s="156"/>
      <c r="E19" s="156"/>
      <c r="F19" s="156"/>
      <c r="G19" s="156"/>
    </row>
    <row r="20" spans="1:7" x14ac:dyDescent="0.25">
      <c r="A20" s="1" t="s">
        <v>0</v>
      </c>
      <c r="B20" s="1" t="s">
        <v>1</v>
      </c>
      <c r="C20" s="1" t="s">
        <v>2</v>
      </c>
      <c r="D20" s="1" t="s">
        <v>4</v>
      </c>
      <c r="E20" s="1" t="s">
        <v>5</v>
      </c>
      <c r="F20" s="2" t="s">
        <v>7</v>
      </c>
      <c r="G20" s="1" t="s">
        <v>5</v>
      </c>
    </row>
    <row r="21" spans="1:7" x14ac:dyDescent="0.25">
      <c r="A21" s="1"/>
      <c r="B21" s="1"/>
      <c r="C21" s="1" t="s">
        <v>3</v>
      </c>
      <c r="D21" s="1" t="s">
        <v>3</v>
      </c>
      <c r="E21" s="1" t="s">
        <v>6</v>
      </c>
      <c r="F21" s="1"/>
      <c r="G21" s="1" t="s">
        <v>8</v>
      </c>
    </row>
    <row r="22" spans="1:7" x14ac:dyDescent="0.25">
      <c r="A22" s="1">
        <v>1</v>
      </c>
      <c r="B22" s="1">
        <v>6</v>
      </c>
      <c r="C22" s="1">
        <v>2</v>
      </c>
      <c r="D22" s="1">
        <f>C22</f>
        <v>2</v>
      </c>
      <c r="E22" s="3">
        <f>D22/B22</f>
        <v>0.33333333333333331</v>
      </c>
      <c r="F22" s="157">
        <f>SUM(E22:E36)</f>
        <v>2.7291601757119008</v>
      </c>
      <c r="G22" s="157">
        <f>30/F22</f>
        <v>10.992392556136616</v>
      </c>
    </row>
    <row r="23" spans="1:7" x14ac:dyDescent="0.25">
      <c r="A23" s="1">
        <v>2</v>
      </c>
      <c r="B23" s="1">
        <v>4</v>
      </c>
      <c r="C23" s="1">
        <v>4</v>
      </c>
      <c r="D23" s="1">
        <f>C23-C22</f>
        <v>2</v>
      </c>
      <c r="E23" s="3">
        <f t="shared" ref="E23:E36" si="2">D23/B23</f>
        <v>0.5</v>
      </c>
      <c r="F23" s="158"/>
      <c r="G23" s="158"/>
    </row>
    <row r="24" spans="1:7" x14ac:dyDescent="0.25">
      <c r="A24" s="1">
        <v>3</v>
      </c>
      <c r="B24" s="1">
        <v>5</v>
      </c>
      <c r="C24" s="1">
        <v>6</v>
      </c>
      <c r="D24" s="1">
        <f t="shared" ref="D24:D36" si="3">C24-C23</f>
        <v>2</v>
      </c>
      <c r="E24" s="3">
        <f t="shared" si="2"/>
        <v>0.4</v>
      </c>
      <c r="F24" s="158"/>
      <c r="G24" s="158"/>
    </row>
    <row r="25" spans="1:7" x14ac:dyDescent="0.25">
      <c r="A25" s="1">
        <v>4</v>
      </c>
      <c r="B25" s="1">
        <v>6</v>
      </c>
      <c r="C25" s="1">
        <v>8</v>
      </c>
      <c r="D25" s="1">
        <f t="shared" si="3"/>
        <v>2</v>
      </c>
      <c r="E25" s="3">
        <f t="shared" si="2"/>
        <v>0.33333333333333331</v>
      </c>
      <c r="F25" s="158"/>
      <c r="G25" s="158"/>
    </row>
    <row r="26" spans="1:7" x14ac:dyDescent="0.25">
      <c r="A26" s="1">
        <v>5</v>
      </c>
      <c r="B26" s="1">
        <v>5</v>
      </c>
      <c r="C26" s="1">
        <v>10</v>
      </c>
      <c r="D26" s="1">
        <f t="shared" si="3"/>
        <v>2</v>
      </c>
      <c r="E26" s="3">
        <f t="shared" si="2"/>
        <v>0.4</v>
      </c>
      <c r="F26" s="158"/>
      <c r="G26" s="158"/>
    </row>
    <row r="27" spans="1:7" x14ac:dyDescent="0.25">
      <c r="A27" s="1">
        <v>6</v>
      </c>
      <c r="B27" s="1">
        <v>30</v>
      </c>
      <c r="C27" s="1">
        <v>12</v>
      </c>
      <c r="D27" s="1">
        <f t="shared" si="3"/>
        <v>2</v>
      </c>
      <c r="E27" s="3">
        <f t="shared" si="2"/>
        <v>6.6666666666666666E-2</v>
      </c>
      <c r="F27" s="158"/>
      <c r="G27" s="158"/>
    </row>
    <row r="28" spans="1:7" x14ac:dyDescent="0.25">
      <c r="A28" s="1">
        <v>7</v>
      </c>
      <c r="B28" s="1">
        <v>28</v>
      </c>
      <c r="C28" s="1">
        <v>14</v>
      </c>
      <c r="D28" s="1">
        <f t="shared" si="3"/>
        <v>2</v>
      </c>
      <c r="E28" s="3">
        <f t="shared" si="2"/>
        <v>7.1428571428571425E-2</v>
      </c>
      <c r="F28" s="158"/>
      <c r="G28" s="158"/>
    </row>
    <row r="29" spans="1:7" x14ac:dyDescent="0.25">
      <c r="A29" s="1">
        <v>8</v>
      </c>
      <c r="B29" s="1">
        <v>29</v>
      </c>
      <c r="C29" s="1">
        <v>16</v>
      </c>
      <c r="D29" s="1">
        <f t="shared" si="3"/>
        <v>2</v>
      </c>
      <c r="E29" s="3">
        <f t="shared" si="2"/>
        <v>6.8965517241379309E-2</v>
      </c>
      <c r="F29" s="158"/>
      <c r="G29" s="158"/>
    </row>
    <row r="30" spans="1:7" x14ac:dyDescent="0.25">
      <c r="A30" s="1">
        <v>9</v>
      </c>
      <c r="B30" s="1">
        <v>30</v>
      </c>
      <c r="C30" s="1">
        <v>18</v>
      </c>
      <c r="D30" s="1">
        <f t="shared" si="3"/>
        <v>2</v>
      </c>
      <c r="E30" s="3">
        <f t="shared" si="2"/>
        <v>6.6666666666666666E-2</v>
      </c>
      <c r="F30" s="158"/>
      <c r="G30" s="158"/>
    </row>
    <row r="31" spans="1:7" x14ac:dyDescent="0.25">
      <c r="A31" s="1">
        <v>10</v>
      </c>
      <c r="B31" s="1">
        <v>29</v>
      </c>
      <c r="C31" s="1">
        <v>20</v>
      </c>
      <c r="D31" s="1">
        <f t="shared" si="3"/>
        <v>2</v>
      </c>
      <c r="E31" s="3">
        <f t="shared" si="2"/>
        <v>6.8965517241379309E-2</v>
      </c>
      <c r="F31" s="158"/>
      <c r="G31" s="158"/>
    </row>
    <row r="32" spans="1:7" x14ac:dyDescent="0.25">
      <c r="A32" s="1">
        <v>11</v>
      </c>
      <c r="B32" s="1">
        <v>39</v>
      </c>
      <c r="C32" s="1">
        <v>22</v>
      </c>
      <c r="D32" s="1">
        <f t="shared" si="3"/>
        <v>2</v>
      </c>
      <c r="E32" s="3">
        <f t="shared" si="2"/>
        <v>5.128205128205128E-2</v>
      </c>
      <c r="F32" s="158"/>
      <c r="G32" s="158"/>
    </row>
    <row r="33" spans="1:7" x14ac:dyDescent="0.25">
      <c r="A33" s="1">
        <v>12</v>
      </c>
      <c r="B33" s="1">
        <v>18</v>
      </c>
      <c r="C33" s="1">
        <v>24</v>
      </c>
      <c r="D33" s="1">
        <f t="shared" si="3"/>
        <v>2</v>
      </c>
      <c r="E33" s="3">
        <f t="shared" si="2"/>
        <v>0.1111111111111111</v>
      </c>
      <c r="F33" s="158"/>
      <c r="G33" s="158"/>
    </row>
    <row r="34" spans="1:7" x14ac:dyDescent="0.25">
      <c r="A34" s="1">
        <v>13</v>
      </c>
      <c r="B34" s="1">
        <v>20</v>
      </c>
      <c r="C34" s="1">
        <v>26</v>
      </c>
      <c r="D34" s="1">
        <f t="shared" si="3"/>
        <v>2</v>
      </c>
      <c r="E34" s="3">
        <f t="shared" si="2"/>
        <v>0.1</v>
      </c>
      <c r="F34" s="158"/>
      <c r="G34" s="158"/>
    </row>
    <row r="35" spans="1:7" x14ac:dyDescent="0.25">
      <c r="A35" s="1">
        <v>14</v>
      </c>
      <c r="B35" s="1">
        <v>24</v>
      </c>
      <c r="C35" s="1">
        <v>28</v>
      </c>
      <c r="D35" s="1">
        <f t="shared" si="3"/>
        <v>2</v>
      </c>
      <c r="E35" s="3">
        <f t="shared" si="2"/>
        <v>8.3333333333333329E-2</v>
      </c>
      <c r="F35" s="158"/>
      <c r="G35" s="158"/>
    </row>
    <row r="36" spans="1:7" x14ac:dyDescent="0.25">
      <c r="A36" s="1">
        <v>15</v>
      </c>
      <c r="B36" s="1">
        <v>27</v>
      </c>
      <c r="C36" s="1">
        <v>30</v>
      </c>
      <c r="D36" s="1">
        <f t="shared" si="3"/>
        <v>2</v>
      </c>
      <c r="E36" s="3">
        <f t="shared" si="2"/>
        <v>7.407407407407407E-2</v>
      </c>
      <c r="F36" s="158"/>
      <c r="G36" s="158"/>
    </row>
    <row r="40" spans="1:7" x14ac:dyDescent="0.25">
      <c r="G40" s="53">
        <f>AVERAGE(G22,G4)</f>
        <v>10.451461415057279</v>
      </c>
    </row>
  </sheetData>
  <mergeCells count="6">
    <mergeCell ref="A1:G1"/>
    <mergeCell ref="F4:F18"/>
    <mergeCell ref="G4:G18"/>
    <mergeCell ref="A19:G19"/>
    <mergeCell ref="F22:F36"/>
    <mergeCell ref="G22:G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42E-E484-4B6A-82CF-23303B052E57}">
  <sheetPr codeName="Sheet3"/>
  <dimension ref="A1:V37"/>
  <sheetViews>
    <sheetView topLeftCell="C1" zoomScaleNormal="100" workbookViewId="0">
      <selection activeCell="N3" sqref="N3:V15"/>
    </sheetView>
  </sheetViews>
  <sheetFormatPr defaultRowHeight="15" x14ac:dyDescent="0.25"/>
  <cols>
    <col min="2" max="2" width="0" hidden="1" customWidth="1"/>
  </cols>
  <sheetData>
    <row r="1" spans="1:22" x14ac:dyDescent="0.25">
      <c r="A1" t="s">
        <v>2129</v>
      </c>
      <c r="C1" t="s">
        <v>2130</v>
      </c>
      <c r="D1" t="s">
        <v>2131</v>
      </c>
    </row>
    <row r="2" spans="1:22" x14ac:dyDescent="0.25">
      <c r="B2" t="s">
        <v>11</v>
      </c>
      <c r="C2">
        <v>0</v>
      </c>
      <c r="D2">
        <v>0.36099999999999999</v>
      </c>
    </row>
    <row r="3" spans="1:22" x14ac:dyDescent="0.25">
      <c r="A3" t="s">
        <v>12</v>
      </c>
      <c r="B3" t="s">
        <v>13</v>
      </c>
      <c r="C3">
        <v>0.16900000000000001</v>
      </c>
      <c r="D3">
        <v>0.90900000000000003</v>
      </c>
      <c r="N3" t="s">
        <v>2129</v>
      </c>
      <c r="O3" s="68" t="s">
        <v>2130</v>
      </c>
      <c r="P3" s="68" t="s">
        <v>2131</v>
      </c>
      <c r="Q3" s="68" t="s">
        <v>2129</v>
      </c>
      <c r="R3" s="68" t="s">
        <v>2130</v>
      </c>
      <c r="S3" s="68" t="s">
        <v>2131</v>
      </c>
      <c r="T3" s="68" t="s">
        <v>2129</v>
      </c>
      <c r="U3" s="68" t="s">
        <v>2130</v>
      </c>
      <c r="V3" s="68" t="s">
        <v>2131</v>
      </c>
    </row>
    <row r="4" spans="1:22" x14ac:dyDescent="0.25">
      <c r="A4" t="s">
        <v>12</v>
      </c>
      <c r="B4" t="s">
        <v>14</v>
      </c>
      <c r="C4">
        <v>0.2</v>
      </c>
      <c r="D4">
        <v>0.90900000000000003</v>
      </c>
      <c r="N4">
        <v>1</v>
      </c>
      <c r="O4">
        <f>C2</f>
        <v>0</v>
      </c>
      <c r="P4">
        <f>D2</f>
        <v>0.36099999999999999</v>
      </c>
      <c r="Q4">
        <v>13</v>
      </c>
      <c r="R4">
        <f>C14</f>
        <v>1.7</v>
      </c>
      <c r="S4" s="68">
        <f>D14</f>
        <v>0.45200000000000001</v>
      </c>
      <c r="T4">
        <v>25</v>
      </c>
      <c r="U4">
        <f>C26</f>
        <v>2.9</v>
      </c>
      <c r="V4" s="68">
        <f>D26</f>
        <v>0.26500000000000001</v>
      </c>
    </row>
    <row r="5" spans="1:22" x14ac:dyDescent="0.25">
      <c r="A5" t="s">
        <v>12</v>
      </c>
      <c r="B5" t="s">
        <v>15</v>
      </c>
      <c r="C5">
        <v>0.84599999999999997</v>
      </c>
      <c r="D5">
        <v>0.90900000000000003</v>
      </c>
      <c r="N5" s="68">
        <v>2</v>
      </c>
      <c r="O5" s="68">
        <f t="shared" ref="O5:O15" si="0">C3</f>
        <v>0.16900000000000001</v>
      </c>
      <c r="P5" s="68">
        <f t="shared" ref="P5:P15" si="1">D3</f>
        <v>0.90900000000000003</v>
      </c>
      <c r="Q5" s="68">
        <v>14</v>
      </c>
      <c r="R5" s="68">
        <f t="shared" ref="R5:R15" si="2">C15</f>
        <v>1.8</v>
      </c>
      <c r="S5" s="68">
        <f t="shared" ref="S5:S15" si="3">D15</f>
        <v>0.42699999999999999</v>
      </c>
      <c r="T5" s="68">
        <v>26</v>
      </c>
      <c r="U5" s="68">
        <f t="shared" ref="U5:V15" si="4">C27</f>
        <v>3</v>
      </c>
      <c r="V5" s="68">
        <f t="shared" si="4"/>
        <v>0.25600000000000001</v>
      </c>
    </row>
    <row r="6" spans="1:22" x14ac:dyDescent="0.25">
      <c r="A6" t="s">
        <v>12</v>
      </c>
      <c r="B6" t="s">
        <v>16</v>
      </c>
      <c r="C6">
        <v>0.9</v>
      </c>
      <c r="D6">
        <v>0.85399999999999998</v>
      </c>
      <c r="N6" s="68">
        <v>3</v>
      </c>
      <c r="O6" s="68">
        <f t="shared" si="0"/>
        <v>0.2</v>
      </c>
      <c r="P6" s="68">
        <f t="shared" si="1"/>
        <v>0.90900000000000003</v>
      </c>
      <c r="Q6" s="68">
        <v>15</v>
      </c>
      <c r="R6" s="68">
        <f t="shared" si="2"/>
        <v>1.9</v>
      </c>
      <c r="S6" s="68">
        <f t="shared" si="3"/>
        <v>0.40500000000000003</v>
      </c>
      <c r="T6" s="68">
        <v>27</v>
      </c>
      <c r="U6" s="68">
        <f t="shared" si="4"/>
        <v>3.1</v>
      </c>
      <c r="V6" s="68">
        <f t="shared" si="4"/>
        <v>0.248</v>
      </c>
    </row>
    <row r="7" spans="1:22" x14ac:dyDescent="0.25">
      <c r="A7" t="s">
        <v>12</v>
      </c>
      <c r="B7" t="s">
        <v>17</v>
      </c>
      <c r="C7">
        <v>1</v>
      </c>
      <c r="D7">
        <v>0.76900000000000002</v>
      </c>
      <c r="N7" s="68">
        <v>4</v>
      </c>
      <c r="O7" s="68">
        <f t="shared" si="0"/>
        <v>0.84599999999999997</v>
      </c>
      <c r="P7" s="68">
        <f t="shared" si="1"/>
        <v>0.90900000000000003</v>
      </c>
      <c r="Q7" s="68">
        <v>16</v>
      </c>
      <c r="R7" s="68">
        <f t="shared" si="2"/>
        <v>2</v>
      </c>
      <c r="S7" s="68">
        <f t="shared" si="3"/>
        <v>0.38400000000000001</v>
      </c>
      <c r="T7" s="68">
        <v>28</v>
      </c>
      <c r="U7" s="68">
        <f t="shared" si="4"/>
        <v>3.2</v>
      </c>
      <c r="V7" s="68">
        <f t="shared" si="4"/>
        <v>0.24</v>
      </c>
    </row>
    <row r="8" spans="1:22" x14ac:dyDescent="0.25">
      <c r="A8" t="s">
        <v>12</v>
      </c>
      <c r="B8" t="s">
        <v>18</v>
      </c>
      <c r="C8">
        <v>1.1000000000000001</v>
      </c>
      <c r="D8">
        <v>0.69899999999999995</v>
      </c>
      <c r="N8" s="68">
        <v>5</v>
      </c>
      <c r="O8" s="68">
        <f t="shared" si="0"/>
        <v>0.9</v>
      </c>
      <c r="P8" s="68">
        <f t="shared" si="1"/>
        <v>0.85399999999999998</v>
      </c>
      <c r="Q8" s="68">
        <v>17</v>
      </c>
      <c r="R8" s="68">
        <f t="shared" si="2"/>
        <v>2.1</v>
      </c>
      <c r="S8" s="68">
        <f t="shared" si="3"/>
        <v>0.36599999999999999</v>
      </c>
      <c r="T8" s="68">
        <v>29</v>
      </c>
      <c r="U8" s="68">
        <f t="shared" si="4"/>
        <v>3.3</v>
      </c>
      <c r="V8" s="68">
        <f t="shared" si="4"/>
        <v>0.23300000000000001</v>
      </c>
    </row>
    <row r="9" spans="1:22" x14ac:dyDescent="0.25">
      <c r="A9" t="s">
        <v>12</v>
      </c>
      <c r="B9" t="s">
        <v>19</v>
      </c>
      <c r="C9">
        <v>1.2</v>
      </c>
      <c r="D9">
        <v>0.64100000000000001</v>
      </c>
      <c r="N9" s="68">
        <v>6</v>
      </c>
      <c r="O9" s="68">
        <f t="shared" si="0"/>
        <v>1</v>
      </c>
      <c r="P9" s="68">
        <f t="shared" si="1"/>
        <v>0.76900000000000002</v>
      </c>
      <c r="Q9" s="68">
        <v>18</v>
      </c>
      <c r="R9" s="68">
        <f t="shared" si="2"/>
        <v>2.2000000000000002</v>
      </c>
      <c r="S9" s="68">
        <f t="shared" si="3"/>
        <v>0.34899999999999998</v>
      </c>
      <c r="T9" s="68">
        <v>30</v>
      </c>
      <c r="U9" s="68">
        <f t="shared" si="4"/>
        <v>3.4</v>
      </c>
      <c r="V9" s="68">
        <f t="shared" si="4"/>
        <v>0.22600000000000001</v>
      </c>
    </row>
    <row r="10" spans="1:22" x14ac:dyDescent="0.25">
      <c r="A10" t="s">
        <v>12</v>
      </c>
      <c r="B10" t="s">
        <v>20</v>
      </c>
      <c r="C10">
        <v>1.3</v>
      </c>
      <c r="D10">
        <v>0.59099999999999997</v>
      </c>
      <c r="N10" s="68">
        <v>7</v>
      </c>
      <c r="O10" s="68">
        <f t="shared" si="0"/>
        <v>1.1000000000000001</v>
      </c>
      <c r="P10" s="68">
        <f t="shared" si="1"/>
        <v>0.69899999999999995</v>
      </c>
      <c r="Q10" s="68">
        <v>19</v>
      </c>
      <c r="R10" s="68">
        <f t="shared" si="2"/>
        <v>2.2999999999999998</v>
      </c>
      <c r="S10" s="68">
        <f t="shared" si="3"/>
        <v>0.33400000000000002</v>
      </c>
      <c r="T10" s="68">
        <v>31</v>
      </c>
      <c r="U10" s="68">
        <f t="shared" si="4"/>
        <v>3.5</v>
      </c>
      <c r="V10" s="68">
        <f t="shared" si="4"/>
        <v>0.22</v>
      </c>
    </row>
    <row r="11" spans="1:22" x14ac:dyDescent="0.25">
      <c r="A11" t="s">
        <v>12</v>
      </c>
      <c r="B11" t="s">
        <v>21</v>
      </c>
      <c r="C11">
        <v>1.4</v>
      </c>
      <c r="D11">
        <v>0.54900000000000004</v>
      </c>
      <c r="N11" s="68">
        <v>8</v>
      </c>
      <c r="O11" s="68">
        <f t="shared" si="0"/>
        <v>1.2</v>
      </c>
      <c r="P11" s="68">
        <f t="shared" si="1"/>
        <v>0.64100000000000001</v>
      </c>
      <c r="Q11" s="68">
        <v>20</v>
      </c>
      <c r="R11" s="68">
        <f t="shared" si="2"/>
        <v>2.4</v>
      </c>
      <c r="S11" s="68">
        <f t="shared" si="3"/>
        <v>0.32</v>
      </c>
      <c r="T11" s="68">
        <v>32</v>
      </c>
      <c r="U11" s="68">
        <f t="shared" si="4"/>
        <v>3.6</v>
      </c>
      <c r="V11" s="68">
        <f t="shared" si="4"/>
        <v>0.214</v>
      </c>
    </row>
    <row r="12" spans="1:22" x14ac:dyDescent="0.25">
      <c r="A12" t="s">
        <v>12</v>
      </c>
      <c r="B12" t="s">
        <v>22</v>
      </c>
      <c r="C12">
        <v>1.5</v>
      </c>
      <c r="D12">
        <v>0.51200000000000001</v>
      </c>
      <c r="N12" s="68">
        <v>9</v>
      </c>
      <c r="O12" s="68">
        <f t="shared" si="0"/>
        <v>1.3</v>
      </c>
      <c r="P12" s="68">
        <f t="shared" si="1"/>
        <v>0.59099999999999997</v>
      </c>
      <c r="Q12" s="68">
        <v>21</v>
      </c>
      <c r="R12" s="68">
        <f t="shared" si="2"/>
        <v>2.5</v>
      </c>
      <c r="S12" s="68">
        <f t="shared" si="3"/>
        <v>0.307</v>
      </c>
      <c r="T12" s="68">
        <v>33</v>
      </c>
      <c r="U12" s="68">
        <f t="shared" si="4"/>
        <v>3.7</v>
      </c>
      <c r="V12" s="68">
        <f t="shared" si="4"/>
        <v>0.20799999999999999</v>
      </c>
    </row>
    <row r="13" spans="1:22" x14ac:dyDescent="0.25">
      <c r="A13" t="s">
        <v>12</v>
      </c>
      <c r="B13" t="s">
        <v>23</v>
      </c>
      <c r="C13">
        <v>1.6</v>
      </c>
      <c r="D13">
        <v>0.48</v>
      </c>
      <c r="N13" s="68">
        <v>10</v>
      </c>
      <c r="O13" s="68">
        <f t="shared" si="0"/>
        <v>1.4</v>
      </c>
      <c r="P13" s="68">
        <f t="shared" si="1"/>
        <v>0.54900000000000004</v>
      </c>
      <c r="Q13" s="68">
        <v>22</v>
      </c>
      <c r="R13" s="68">
        <f t="shared" si="2"/>
        <v>2.6</v>
      </c>
      <c r="S13" s="68">
        <f t="shared" si="3"/>
        <v>0.29599999999999999</v>
      </c>
      <c r="T13" s="68">
        <v>34</v>
      </c>
      <c r="U13" s="68">
        <f t="shared" si="4"/>
        <v>3.8</v>
      </c>
      <c r="V13" s="68">
        <f t="shared" si="4"/>
        <v>0.20200000000000001</v>
      </c>
    </row>
    <row r="14" spans="1:22" x14ac:dyDescent="0.25">
      <c r="A14" t="s">
        <v>12</v>
      </c>
      <c r="B14" t="s">
        <v>24</v>
      </c>
      <c r="C14">
        <v>1.7</v>
      </c>
      <c r="D14">
        <v>0.45200000000000001</v>
      </c>
      <c r="N14" s="68">
        <v>11</v>
      </c>
      <c r="O14" s="68">
        <f t="shared" si="0"/>
        <v>1.5</v>
      </c>
      <c r="P14" s="68">
        <f t="shared" si="1"/>
        <v>0.51200000000000001</v>
      </c>
      <c r="Q14" s="68">
        <v>23</v>
      </c>
      <c r="R14" s="68">
        <f t="shared" si="2"/>
        <v>2.7</v>
      </c>
      <c r="S14" s="68">
        <f t="shared" si="3"/>
        <v>0.28499999999999998</v>
      </c>
      <c r="T14" s="68">
        <v>35</v>
      </c>
      <c r="U14" s="68">
        <f t="shared" si="4"/>
        <v>3.9</v>
      </c>
      <c r="V14" s="68">
        <f t="shared" si="4"/>
        <v>0.19700000000000001</v>
      </c>
    </row>
    <row r="15" spans="1:22" x14ac:dyDescent="0.25">
      <c r="A15" t="s">
        <v>12</v>
      </c>
      <c r="B15" t="s">
        <v>25</v>
      </c>
      <c r="C15">
        <v>1.8</v>
      </c>
      <c r="D15">
        <v>0.42699999999999999</v>
      </c>
      <c r="N15" s="68">
        <v>12</v>
      </c>
      <c r="O15" s="68">
        <f t="shared" si="0"/>
        <v>1.6</v>
      </c>
      <c r="P15" s="68">
        <f t="shared" si="1"/>
        <v>0.48</v>
      </c>
      <c r="Q15" s="68">
        <v>24</v>
      </c>
      <c r="R15" s="68">
        <f t="shared" si="2"/>
        <v>2.8</v>
      </c>
      <c r="S15" s="68">
        <f t="shared" si="3"/>
        <v>0.27500000000000002</v>
      </c>
      <c r="T15" s="68">
        <v>36</v>
      </c>
      <c r="U15" s="68">
        <f t="shared" si="4"/>
        <v>4</v>
      </c>
      <c r="V15" s="68">
        <f t="shared" si="4"/>
        <v>0.192</v>
      </c>
    </row>
    <row r="16" spans="1:22" x14ac:dyDescent="0.25">
      <c r="A16" t="s">
        <v>12</v>
      </c>
      <c r="B16" t="s">
        <v>26</v>
      </c>
      <c r="C16">
        <v>1.9</v>
      </c>
      <c r="D16">
        <v>0.40500000000000003</v>
      </c>
      <c r="N16" s="68"/>
      <c r="O16" s="68"/>
      <c r="P16" s="68"/>
      <c r="Q16" s="68"/>
      <c r="R16" s="68"/>
      <c r="S16" s="68"/>
    </row>
    <row r="17" spans="1:19" x14ac:dyDescent="0.25">
      <c r="A17" t="s">
        <v>12</v>
      </c>
      <c r="B17" t="s">
        <v>27</v>
      </c>
      <c r="C17">
        <v>2</v>
      </c>
      <c r="D17">
        <v>0.38400000000000001</v>
      </c>
      <c r="N17" s="68"/>
      <c r="O17" s="68"/>
      <c r="P17" s="68"/>
      <c r="Q17" s="68"/>
      <c r="R17" s="68"/>
      <c r="S17" s="68"/>
    </row>
    <row r="18" spans="1:19" x14ac:dyDescent="0.25">
      <c r="A18" t="s">
        <v>12</v>
      </c>
      <c r="B18" t="s">
        <v>28</v>
      </c>
      <c r="C18">
        <v>2.1</v>
      </c>
      <c r="D18">
        <v>0.36599999999999999</v>
      </c>
      <c r="N18" s="68"/>
      <c r="O18" s="68"/>
      <c r="P18" s="68"/>
      <c r="Q18" s="68"/>
      <c r="R18" s="68"/>
      <c r="S18" s="68"/>
    </row>
    <row r="19" spans="1:19" x14ac:dyDescent="0.25">
      <c r="A19" t="s">
        <v>12</v>
      </c>
      <c r="B19" t="s">
        <v>29</v>
      </c>
      <c r="C19">
        <v>2.2000000000000002</v>
      </c>
      <c r="D19">
        <v>0.34899999999999998</v>
      </c>
      <c r="N19" s="68"/>
      <c r="O19" s="68"/>
      <c r="P19" s="68"/>
      <c r="Q19" s="68"/>
      <c r="R19" s="68"/>
      <c r="S19" s="68"/>
    </row>
    <row r="20" spans="1:19" x14ac:dyDescent="0.25">
      <c r="A20" t="s">
        <v>12</v>
      </c>
      <c r="B20" t="s">
        <v>30</v>
      </c>
      <c r="C20">
        <v>2.2999999999999998</v>
      </c>
      <c r="D20">
        <v>0.33400000000000002</v>
      </c>
      <c r="N20" s="68"/>
      <c r="O20" s="68"/>
      <c r="P20" s="68"/>
      <c r="Q20" s="68"/>
      <c r="R20" s="68"/>
      <c r="S20" s="68"/>
    </row>
    <row r="21" spans="1:19" x14ac:dyDescent="0.25">
      <c r="A21" t="s">
        <v>12</v>
      </c>
      <c r="B21" t="s">
        <v>31</v>
      </c>
      <c r="C21">
        <v>2.4</v>
      </c>
      <c r="D21">
        <v>0.32</v>
      </c>
      <c r="N21" s="68"/>
      <c r="O21" s="68"/>
      <c r="P21" s="68"/>
      <c r="Q21" s="68"/>
      <c r="R21" s="68"/>
      <c r="S21" s="68"/>
    </row>
    <row r="22" spans="1:19" x14ac:dyDescent="0.25">
      <c r="A22" t="s">
        <v>12</v>
      </c>
      <c r="B22" t="s">
        <v>32</v>
      </c>
      <c r="C22">
        <v>2.5</v>
      </c>
      <c r="D22">
        <v>0.307</v>
      </c>
    </row>
    <row r="23" spans="1:19" x14ac:dyDescent="0.25">
      <c r="A23" t="s">
        <v>12</v>
      </c>
      <c r="B23" t="s">
        <v>33</v>
      </c>
      <c r="C23">
        <v>2.6</v>
      </c>
      <c r="D23">
        <v>0.29599999999999999</v>
      </c>
    </row>
    <row r="24" spans="1:19" x14ac:dyDescent="0.25">
      <c r="A24" t="s">
        <v>12</v>
      </c>
      <c r="B24" t="s">
        <v>34</v>
      </c>
      <c r="C24">
        <v>2.7</v>
      </c>
      <c r="D24">
        <v>0.28499999999999998</v>
      </c>
    </row>
    <row r="25" spans="1:19" x14ac:dyDescent="0.25">
      <c r="A25" t="s">
        <v>12</v>
      </c>
      <c r="B25" t="s">
        <v>35</v>
      </c>
      <c r="C25">
        <v>2.8</v>
      </c>
      <c r="D25">
        <v>0.27500000000000002</v>
      </c>
    </row>
    <row r="26" spans="1:19" x14ac:dyDescent="0.25">
      <c r="A26" t="s">
        <v>12</v>
      </c>
      <c r="B26" t="s">
        <v>36</v>
      </c>
      <c r="C26">
        <v>2.9</v>
      </c>
      <c r="D26">
        <v>0.26500000000000001</v>
      </c>
    </row>
    <row r="27" spans="1:19" x14ac:dyDescent="0.25">
      <c r="A27" t="s">
        <v>12</v>
      </c>
      <c r="B27" t="s">
        <v>37</v>
      </c>
      <c r="C27">
        <v>3</v>
      </c>
      <c r="D27">
        <v>0.25600000000000001</v>
      </c>
    </row>
    <row r="28" spans="1:19" x14ac:dyDescent="0.25">
      <c r="A28" t="s">
        <v>12</v>
      </c>
      <c r="B28" t="s">
        <v>38</v>
      </c>
      <c r="C28">
        <v>3.1</v>
      </c>
      <c r="D28">
        <v>0.248</v>
      </c>
    </row>
    <row r="29" spans="1:19" x14ac:dyDescent="0.25">
      <c r="A29" t="s">
        <v>12</v>
      </c>
      <c r="B29" t="s">
        <v>39</v>
      </c>
      <c r="C29">
        <v>3.2</v>
      </c>
      <c r="D29">
        <v>0.24</v>
      </c>
    </row>
    <row r="30" spans="1:19" x14ac:dyDescent="0.25">
      <c r="A30" t="s">
        <v>12</v>
      </c>
      <c r="B30" t="s">
        <v>40</v>
      </c>
      <c r="C30">
        <v>3.3</v>
      </c>
      <c r="D30">
        <v>0.23300000000000001</v>
      </c>
    </row>
    <row r="31" spans="1:19" x14ac:dyDescent="0.25">
      <c r="A31" t="s">
        <v>12</v>
      </c>
      <c r="B31" t="s">
        <v>41</v>
      </c>
      <c r="C31">
        <v>3.4</v>
      </c>
      <c r="D31">
        <v>0.22600000000000001</v>
      </c>
    </row>
    <row r="32" spans="1:19" x14ac:dyDescent="0.25">
      <c r="A32" t="s">
        <v>12</v>
      </c>
      <c r="B32" t="s">
        <v>42</v>
      </c>
      <c r="C32">
        <v>3.5</v>
      </c>
      <c r="D32">
        <v>0.22</v>
      </c>
    </row>
    <row r="33" spans="1:4" x14ac:dyDescent="0.25">
      <c r="A33" t="s">
        <v>12</v>
      </c>
      <c r="B33" t="s">
        <v>43</v>
      </c>
      <c r="C33">
        <v>3.6</v>
      </c>
      <c r="D33">
        <v>0.214</v>
      </c>
    </row>
    <row r="34" spans="1:4" x14ac:dyDescent="0.25">
      <c r="A34" t="s">
        <v>12</v>
      </c>
      <c r="B34" t="s">
        <v>44</v>
      </c>
      <c r="C34">
        <v>3.7</v>
      </c>
      <c r="D34">
        <v>0.20799999999999999</v>
      </c>
    </row>
    <row r="35" spans="1:4" x14ac:dyDescent="0.25">
      <c r="A35" t="s">
        <v>12</v>
      </c>
      <c r="B35" t="s">
        <v>45</v>
      </c>
      <c r="C35">
        <v>3.8</v>
      </c>
      <c r="D35">
        <v>0.20200000000000001</v>
      </c>
    </row>
    <row r="36" spans="1:4" x14ac:dyDescent="0.25">
      <c r="A36" t="s">
        <v>12</v>
      </c>
      <c r="B36" t="s">
        <v>46</v>
      </c>
      <c r="C36">
        <v>3.9</v>
      </c>
      <c r="D36">
        <v>0.19700000000000001</v>
      </c>
    </row>
    <row r="37" spans="1:4" x14ac:dyDescent="0.25">
      <c r="A37" t="s">
        <v>12</v>
      </c>
      <c r="B37" t="s">
        <v>47</v>
      </c>
      <c r="C37">
        <v>4</v>
      </c>
      <c r="D37">
        <v>0.192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BB7A-2AAE-4274-9773-DACE1F969C55}">
  <sheetPr codeName="Sheet4"/>
  <dimension ref="A1:P859"/>
  <sheetViews>
    <sheetView workbookViewId="0">
      <selection activeCell="N2" sqref="N2"/>
    </sheetView>
  </sheetViews>
  <sheetFormatPr defaultRowHeight="15" x14ac:dyDescent="0.25"/>
  <cols>
    <col min="4" max="5" width="0" hidden="1" customWidth="1"/>
  </cols>
  <sheetData>
    <row r="1" spans="1:16" ht="43.5" x14ac:dyDescent="0.25">
      <c r="A1" s="66" t="s">
        <v>217</v>
      </c>
      <c r="B1" s="66" t="s">
        <v>218</v>
      </c>
      <c r="C1" s="66" t="s">
        <v>220</v>
      </c>
      <c r="D1" s="66" t="s">
        <v>221</v>
      </c>
      <c r="E1" s="66" t="s">
        <v>222</v>
      </c>
      <c r="F1" s="67" t="s">
        <v>223</v>
      </c>
      <c r="G1" s="67" t="s">
        <v>224</v>
      </c>
      <c r="H1" s="67" t="s">
        <v>225</v>
      </c>
      <c r="I1" s="67" t="s">
        <v>226</v>
      </c>
      <c r="J1" s="67" t="s">
        <v>227</v>
      </c>
      <c r="K1" s="67" t="s">
        <v>228</v>
      </c>
      <c r="L1" s="63" t="s">
        <v>2030</v>
      </c>
      <c r="N1" s="88" t="s">
        <v>2076</v>
      </c>
      <c r="O1" s="88" t="s">
        <v>2077</v>
      </c>
      <c r="P1" s="88" t="s">
        <v>2085</v>
      </c>
    </row>
    <row r="2" spans="1:16" x14ac:dyDescent="0.25">
      <c r="A2" s="65">
        <v>1813</v>
      </c>
      <c r="B2" s="65" t="s">
        <v>229</v>
      </c>
      <c r="C2" s="65" t="s">
        <v>358</v>
      </c>
      <c r="D2" s="65">
        <v>0</v>
      </c>
      <c r="E2" s="65"/>
      <c r="F2" s="70">
        <v>-543.32000000000005</v>
      </c>
      <c r="G2" s="70">
        <v>-5.76</v>
      </c>
      <c r="H2" s="70">
        <v>252.29</v>
      </c>
      <c r="I2" s="70">
        <v>0.24</v>
      </c>
      <c r="J2" s="70">
        <v>242.9</v>
      </c>
      <c r="K2" s="70">
        <v>-2.64</v>
      </c>
      <c r="L2">
        <f>F2*-1</f>
        <v>543.32000000000005</v>
      </c>
      <c r="N2">
        <f>MAX(F2:F859)</f>
        <v>540.23</v>
      </c>
      <c r="O2">
        <f>MAX(J2:J859)</f>
        <v>242.9</v>
      </c>
      <c r="P2">
        <f>MAX(H2:H859)</f>
        <v>252.29</v>
      </c>
    </row>
    <row r="3" spans="1:16" x14ac:dyDescent="0.25">
      <c r="A3" s="65">
        <v>2503</v>
      </c>
      <c r="B3" s="65" t="s">
        <v>229</v>
      </c>
      <c r="C3" s="65" t="s">
        <v>1018</v>
      </c>
      <c r="D3" s="65">
        <v>0</v>
      </c>
      <c r="E3" s="65"/>
      <c r="F3" s="70">
        <v>-544.41</v>
      </c>
      <c r="G3" s="70">
        <v>-5.75</v>
      </c>
      <c r="H3" s="70">
        <v>252.23</v>
      </c>
      <c r="I3" s="70">
        <v>0.24</v>
      </c>
      <c r="J3" s="70">
        <v>242.8</v>
      </c>
      <c r="K3" s="70">
        <v>-2.63</v>
      </c>
      <c r="L3" s="64">
        <f t="shared" ref="L3:L66" si="0">F3*-1</f>
        <v>544.41</v>
      </c>
      <c r="N3">
        <f>MIN(F2:F859)</f>
        <v>-866.63</v>
      </c>
      <c r="O3">
        <f>MIN(J2:J859)</f>
        <v>-60.35</v>
      </c>
      <c r="P3">
        <f>MIN(H2:H859)</f>
        <v>-245.69</v>
      </c>
    </row>
    <row r="4" spans="1:16" x14ac:dyDescent="0.25">
      <c r="A4" s="65">
        <v>1813</v>
      </c>
      <c r="B4" s="65" t="s">
        <v>229</v>
      </c>
      <c r="C4" s="65" t="s">
        <v>359</v>
      </c>
      <c r="D4" s="65">
        <v>4</v>
      </c>
      <c r="E4" s="65"/>
      <c r="F4" s="70">
        <v>-534.12</v>
      </c>
      <c r="G4" s="70">
        <v>-5.76</v>
      </c>
      <c r="H4" s="70">
        <v>251.88</v>
      </c>
      <c r="I4" s="70">
        <v>0.24</v>
      </c>
      <c r="J4" s="70">
        <v>-11</v>
      </c>
      <c r="K4" s="70">
        <v>3.28</v>
      </c>
      <c r="L4" s="64">
        <f t="shared" si="0"/>
        <v>534.12</v>
      </c>
    </row>
    <row r="5" spans="1:16" x14ac:dyDescent="0.25">
      <c r="A5" s="65">
        <v>2503</v>
      </c>
      <c r="B5" s="65" t="s">
        <v>229</v>
      </c>
      <c r="C5" s="65" t="s">
        <v>1019</v>
      </c>
      <c r="D5" s="65">
        <v>4</v>
      </c>
      <c r="E5" s="65"/>
      <c r="F5" s="70">
        <v>-535.20000000000005</v>
      </c>
      <c r="G5" s="70">
        <v>-5.75</v>
      </c>
      <c r="H5" s="70">
        <v>251.83</v>
      </c>
      <c r="I5" s="70">
        <v>0.24</v>
      </c>
      <c r="J5" s="70">
        <v>-11.3</v>
      </c>
      <c r="K5" s="70">
        <v>3.27</v>
      </c>
      <c r="L5" s="64">
        <f t="shared" si="0"/>
        <v>535.20000000000005</v>
      </c>
    </row>
    <row r="6" spans="1:16" x14ac:dyDescent="0.25">
      <c r="A6" s="65">
        <v>1882</v>
      </c>
      <c r="B6" s="65" t="s">
        <v>229</v>
      </c>
      <c r="C6" s="65" t="s">
        <v>424</v>
      </c>
      <c r="D6" s="65">
        <v>0</v>
      </c>
      <c r="E6" s="65"/>
      <c r="F6" s="70">
        <v>-534.46</v>
      </c>
      <c r="G6" s="70">
        <v>-5.76</v>
      </c>
      <c r="H6" s="70">
        <v>250.17</v>
      </c>
      <c r="I6" s="70">
        <v>0.24</v>
      </c>
      <c r="J6" s="70">
        <v>241.87</v>
      </c>
      <c r="K6" s="70">
        <v>-2.64</v>
      </c>
      <c r="L6" s="64">
        <f t="shared" si="0"/>
        <v>534.46</v>
      </c>
    </row>
    <row r="7" spans="1:16" x14ac:dyDescent="0.25">
      <c r="A7" s="65">
        <v>2434</v>
      </c>
      <c r="B7" s="65" t="s">
        <v>229</v>
      </c>
      <c r="C7" s="65" t="s">
        <v>952</v>
      </c>
      <c r="D7" s="65">
        <v>0</v>
      </c>
      <c r="E7" s="65"/>
      <c r="F7" s="70">
        <v>-535.42999999999995</v>
      </c>
      <c r="G7" s="70">
        <v>-5.75</v>
      </c>
      <c r="H7" s="70">
        <v>250.12</v>
      </c>
      <c r="I7" s="70">
        <v>0.24</v>
      </c>
      <c r="J7" s="70">
        <v>241.79</v>
      </c>
      <c r="K7" s="70">
        <v>-2.63</v>
      </c>
      <c r="L7" s="64">
        <f t="shared" si="0"/>
        <v>535.42999999999995</v>
      </c>
    </row>
    <row r="8" spans="1:16" x14ac:dyDescent="0.25">
      <c r="A8" s="65">
        <v>1882</v>
      </c>
      <c r="B8" s="65" t="s">
        <v>229</v>
      </c>
      <c r="C8" s="65" t="s">
        <v>425</v>
      </c>
      <c r="D8" s="65">
        <v>4</v>
      </c>
      <c r="E8" s="65"/>
      <c r="F8" s="70">
        <v>-525.26</v>
      </c>
      <c r="G8" s="70">
        <v>-5.76</v>
      </c>
      <c r="H8" s="70">
        <v>249.76</v>
      </c>
      <c r="I8" s="70">
        <v>0.24</v>
      </c>
      <c r="J8" s="70">
        <v>-9.0500000000000007</v>
      </c>
      <c r="K8" s="70">
        <v>3.28</v>
      </c>
      <c r="L8" s="64">
        <f t="shared" si="0"/>
        <v>525.26</v>
      </c>
    </row>
    <row r="9" spans="1:16" x14ac:dyDescent="0.25">
      <c r="A9" s="65">
        <v>2434</v>
      </c>
      <c r="B9" s="65" t="s">
        <v>229</v>
      </c>
      <c r="C9" s="65" t="s">
        <v>953</v>
      </c>
      <c r="D9" s="65">
        <v>4</v>
      </c>
      <c r="E9" s="65"/>
      <c r="F9" s="70">
        <v>-526.23</v>
      </c>
      <c r="G9" s="70">
        <v>-5.75</v>
      </c>
      <c r="H9" s="70">
        <v>249.71</v>
      </c>
      <c r="I9" s="70">
        <v>0.24</v>
      </c>
      <c r="J9" s="70">
        <v>-9.2799999999999994</v>
      </c>
      <c r="K9" s="70">
        <v>3.27</v>
      </c>
      <c r="L9" s="64">
        <f t="shared" si="0"/>
        <v>526.23</v>
      </c>
    </row>
    <row r="10" spans="1:16" x14ac:dyDescent="0.25">
      <c r="A10" s="65">
        <v>1951</v>
      </c>
      <c r="B10" s="65" t="s">
        <v>229</v>
      </c>
      <c r="C10" s="65" t="s">
        <v>490</v>
      </c>
      <c r="D10" s="65">
        <v>0</v>
      </c>
      <c r="E10" s="65"/>
      <c r="F10" s="70">
        <v>-525.71</v>
      </c>
      <c r="G10" s="70">
        <v>-5.76</v>
      </c>
      <c r="H10" s="70">
        <v>248.05</v>
      </c>
      <c r="I10" s="70">
        <v>0.24</v>
      </c>
      <c r="J10" s="70">
        <v>240.84</v>
      </c>
      <c r="K10" s="70">
        <v>-2.63</v>
      </c>
      <c r="L10" s="64">
        <f t="shared" si="0"/>
        <v>525.71</v>
      </c>
    </row>
    <row r="11" spans="1:16" x14ac:dyDescent="0.25">
      <c r="A11" s="70">
        <v>2365</v>
      </c>
      <c r="B11" s="70" t="s">
        <v>229</v>
      </c>
      <c r="C11" s="70" t="s">
        <v>886</v>
      </c>
      <c r="D11" s="70">
        <v>0</v>
      </c>
      <c r="E11" s="70"/>
      <c r="F11" s="70">
        <v>-526.51</v>
      </c>
      <c r="G11" s="70">
        <v>-5.75</v>
      </c>
      <c r="H11" s="70">
        <v>248.01</v>
      </c>
      <c r="I11" s="70">
        <v>0.24</v>
      </c>
      <c r="J11" s="70">
        <v>240.77</v>
      </c>
      <c r="K11" s="70">
        <v>-2.63</v>
      </c>
      <c r="L11" s="64">
        <f t="shared" si="0"/>
        <v>526.51</v>
      </c>
    </row>
    <row r="12" spans="1:16" x14ac:dyDescent="0.25">
      <c r="A12" s="65">
        <v>1951</v>
      </c>
      <c r="B12" s="65" t="s">
        <v>229</v>
      </c>
      <c r="C12" s="65" t="s">
        <v>491</v>
      </c>
      <c r="D12" s="65">
        <v>4</v>
      </c>
      <c r="E12" s="65"/>
      <c r="F12" s="70">
        <v>-516.51</v>
      </c>
      <c r="G12" s="70">
        <v>-5.76</v>
      </c>
      <c r="H12" s="70">
        <v>247.65</v>
      </c>
      <c r="I12" s="70">
        <v>0.24</v>
      </c>
      <c r="J12" s="70">
        <v>-7.11</v>
      </c>
      <c r="K12" s="70">
        <v>3.28</v>
      </c>
      <c r="L12" s="64">
        <f t="shared" si="0"/>
        <v>516.51</v>
      </c>
    </row>
    <row r="13" spans="1:16" x14ac:dyDescent="0.25">
      <c r="A13" s="65">
        <v>2365</v>
      </c>
      <c r="B13" s="65" t="s">
        <v>229</v>
      </c>
      <c r="C13" s="65" t="s">
        <v>887</v>
      </c>
      <c r="D13" s="65">
        <v>4</v>
      </c>
      <c r="E13" s="65"/>
      <c r="F13" s="70">
        <v>-517.30999999999995</v>
      </c>
      <c r="G13" s="70">
        <v>-5.75</v>
      </c>
      <c r="H13" s="70">
        <v>247.6</v>
      </c>
      <c r="I13" s="70">
        <v>0.24</v>
      </c>
      <c r="J13" s="70">
        <v>-7.28</v>
      </c>
      <c r="K13" s="70">
        <v>3.28</v>
      </c>
      <c r="L13" s="64">
        <f t="shared" si="0"/>
        <v>517.30999999999995</v>
      </c>
    </row>
    <row r="14" spans="1:16" x14ac:dyDescent="0.25">
      <c r="A14" s="65">
        <v>2020</v>
      </c>
      <c r="B14" s="65" t="s">
        <v>229</v>
      </c>
      <c r="C14" s="65" t="s">
        <v>556</v>
      </c>
      <c r="D14" s="65">
        <v>0</v>
      </c>
      <c r="E14" s="65"/>
      <c r="F14" s="70">
        <v>-517.17999999999995</v>
      </c>
      <c r="G14" s="70">
        <v>-5.76</v>
      </c>
      <c r="H14" s="70">
        <v>245.94</v>
      </c>
      <c r="I14" s="70">
        <v>0.24</v>
      </c>
      <c r="J14" s="70">
        <v>239.8</v>
      </c>
      <c r="K14" s="70">
        <v>-2.63</v>
      </c>
      <c r="L14" s="64">
        <f t="shared" si="0"/>
        <v>517.17999999999995</v>
      </c>
    </row>
    <row r="15" spans="1:16" x14ac:dyDescent="0.25">
      <c r="A15" s="65">
        <v>2296</v>
      </c>
      <c r="B15" s="65" t="s">
        <v>229</v>
      </c>
      <c r="C15" s="65" t="s">
        <v>820</v>
      </c>
      <c r="D15" s="65">
        <v>0</v>
      </c>
      <c r="E15" s="65"/>
      <c r="F15" s="70">
        <v>-517.59</v>
      </c>
      <c r="G15" s="70">
        <v>-5.76</v>
      </c>
      <c r="H15" s="70">
        <v>245.91</v>
      </c>
      <c r="I15" s="70">
        <v>0.24</v>
      </c>
      <c r="J15" s="70">
        <v>239.76</v>
      </c>
      <c r="K15" s="70">
        <v>-2.63</v>
      </c>
      <c r="L15" s="64">
        <f t="shared" si="0"/>
        <v>517.59</v>
      </c>
    </row>
    <row r="16" spans="1:16" x14ac:dyDescent="0.25">
      <c r="A16" s="65">
        <v>2020</v>
      </c>
      <c r="B16" s="65" t="s">
        <v>229</v>
      </c>
      <c r="C16" s="65" t="s">
        <v>557</v>
      </c>
      <c r="D16" s="65">
        <v>4</v>
      </c>
      <c r="E16" s="65"/>
      <c r="F16" s="70">
        <v>-507.98</v>
      </c>
      <c r="G16" s="70">
        <v>-5.76</v>
      </c>
      <c r="H16" s="70">
        <v>245.53</v>
      </c>
      <c r="I16" s="70">
        <v>0.24</v>
      </c>
      <c r="J16" s="70">
        <v>-5.69</v>
      </c>
      <c r="K16" s="70">
        <v>3.28</v>
      </c>
      <c r="L16" s="64">
        <f t="shared" si="0"/>
        <v>507.98</v>
      </c>
    </row>
    <row r="17" spans="1:12" x14ac:dyDescent="0.25">
      <c r="A17" s="65">
        <v>2296</v>
      </c>
      <c r="B17" s="65" t="s">
        <v>229</v>
      </c>
      <c r="C17" s="65" t="s">
        <v>821</v>
      </c>
      <c r="D17" s="65">
        <v>4</v>
      </c>
      <c r="E17" s="65"/>
      <c r="F17" s="70">
        <v>-508.38</v>
      </c>
      <c r="G17" s="70">
        <v>-5.76</v>
      </c>
      <c r="H17" s="70">
        <v>245.5</v>
      </c>
      <c r="I17" s="70">
        <v>0.24</v>
      </c>
      <c r="J17" s="70">
        <v>-5.82</v>
      </c>
      <c r="K17" s="70">
        <v>3.28</v>
      </c>
      <c r="L17" s="64">
        <f t="shared" si="0"/>
        <v>508.38</v>
      </c>
    </row>
    <row r="18" spans="1:12" x14ac:dyDescent="0.25">
      <c r="A18" s="65">
        <v>2089</v>
      </c>
      <c r="B18" s="65" t="s">
        <v>229</v>
      </c>
      <c r="C18" s="65" t="s">
        <v>622</v>
      </c>
      <c r="D18" s="65">
        <v>0</v>
      </c>
      <c r="E18" s="65"/>
      <c r="F18" s="70">
        <v>-508.65</v>
      </c>
      <c r="G18" s="70">
        <v>-5.76</v>
      </c>
      <c r="H18" s="70">
        <v>243.84</v>
      </c>
      <c r="I18" s="70">
        <v>0.24</v>
      </c>
      <c r="J18" s="70">
        <v>238.77</v>
      </c>
      <c r="K18" s="70">
        <v>-2.63</v>
      </c>
      <c r="L18" s="64">
        <f t="shared" si="0"/>
        <v>508.65</v>
      </c>
    </row>
    <row r="19" spans="1:12" x14ac:dyDescent="0.25">
      <c r="A19" s="65">
        <v>2227</v>
      </c>
      <c r="B19" s="65" t="s">
        <v>229</v>
      </c>
      <c r="C19" s="65" t="s">
        <v>754</v>
      </c>
      <c r="D19" s="65">
        <v>0</v>
      </c>
      <c r="E19" s="65"/>
      <c r="F19" s="70">
        <v>-508.83</v>
      </c>
      <c r="G19" s="70">
        <v>-5.76</v>
      </c>
      <c r="H19" s="70">
        <v>243.81</v>
      </c>
      <c r="I19" s="70">
        <v>0.24</v>
      </c>
      <c r="J19" s="70">
        <v>238.74</v>
      </c>
      <c r="K19" s="70">
        <v>-2.63</v>
      </c>
      <c r="L19" s="64">
        <f t="shared" si="0"/>
        <v>508.83</v>
      </c>
    </row>
    <row r="20" spans="1:12" x14ac:dyDescent="0.25">
      <c r="A20" s="65">
        <v>2089</v>
      </c>
      <c r="B20" s="65" t="s">
        <v>229</v>
      </c>
      <c r="C20" s="65" t="s">
        <v>623</v>
      </c>
      <c r="D20" s="65">
        <v>4</v>
      </c>
      <c r="E20" s="65"/>
      <c r="F20" s="70">
        <v>-499.45</v>
      </c>
      <c r="G20" s="70">
        <v>-5.76</v>
      </c>
      <c r="H20" s="70">
        <v>243.44</v>
      </c>
      <c r="I20" s="70">
        <v>0.24</v>
      </c>
      <c r="J20" s="70">
        <v>-4.6399999999999997</v>
      </c>
      <c r="K20" s="70">
        <v>3.28</v>
      </c>
      <c r="L20" s="64">
        <f t="shared" si="0"/>
        <v>499.45</v>
      </c>
    </row>
    <row r="21" spans="1:12" x14ac:dyDescent="0.25">
      <c r="A21" s="65">
        <v>2227</v>
      </c>
      <c r="B21" s="65" t="s">
        <v>229</v>
      </c>
      <c r="C21" s="65" t="s">
        <v>755</v>
      </c>
      <c r="D21" s="65">
        <v>4</v>
      </c>
      <c r="E21" s="65"/>
      <c r="F21" s="70">
        <v>-499.63</v>
      </c>
      <c r="G21" s="70">
        <v>-5.76</v>
      </c>
      <c r="H21" s="70">
        <v>243.4</v>
      </c>
      <c r="I21" s="70">
        <v>0.24</v>
      </c>
      <c r="J21" s="70">
        <v>-4.71</v>
      </c>
      <c r="K21" s="70">
        <v>3.28</v>
      </c>
      <c r="L21" s="64">
        <f t="shared" si="0"/>
        <v>499.63</v>
      </c>
    </row>
    <row r="22" spans="1:12" x14ac:dyDescent="0.25">
      <c r="A22" s="65">
        <v>2158</v>
      </c>
      <c r="B22" s="65" t="s">
        <v>229</v>
      </c>
      <c r="C22" s="65" t="s">
        <v>688</v>
      </c>
      <c r="D22" s="65">
        <v>0</v>
      </c>
      <c r="E22" s="65"/>
      <c r="F22" s="70">
        <v>-500.32</v>
      </c>
      <c r="G22" s="70">
        <v>-5.76</v>
      </c>
      <c r="H22" s="70">
        <v>241.75</v>
      </c>
      <c r="I22" s="70">
        <v>0.24</v>
      </c>
      <c r="J22" s="70">
        <v>237.74</v>
      </c>
      <c r="K22" s="70">
        <v>-2.63</v>
      </c>
      <c r="L22" s="64">
        <f t="shared" si="0"/>
        <v>500.32</v>
      </c>
    </row>
    <row r="23" spans="1:12" x14ac:dyDescent="0.25">
      <c r="A23" s="65">
        <v>2158</v>
      </c>
      <c r="B23" s="65" t="s">
        <v>229</v>
      </c>
      <c r="C23" s="65" t="s">
        <v>689</v>
      </c>
      <c r="D23" s="65">
        <v>4</v>
      </c>
      <c r="E23" s="65"/>
      <c r="F23" s="70">
        <v>-491.12</v>
      </c>
      <c r="G23" s="70">
        <v>-5.76</v>
      </c>
      <c r="H23" s="70">
        <v>241.34</v>
      </c>
      <c r="I23" s="70">
        <v>0.24</v>
      </c>
      <c r="J23" s="70">
        <v>-3.74</v>
      </c>
      <c r="K23" s="70">
        <v>3.28</v>
      </c>
      <c r="L23" s="64">
        <f t="shared" si="0"/>
        <v>491.12</v>
      </c>
    </row>
    <row r="24" spans="1:12" x14ac:dyDescent="0.25">
      <c r="A24" s="65">
        <v>70</v>
      </c>
      <c r="B24" s="65" t="s">
        <v>229</v>
      </c>
      <c r="C24" s="65" t="s">
        <v>292</v>
      </c>
      <c r="D24" s="65">
        <v>0</v>
      </c>
      <c r="E24" s="65"/>
      <c r="F24" s="70">
        <v>-275.06</v>
      </c>
      <c r="G24" s="70">
        <v>-0.77</v>
      </c>
      <c r="H24" s="70">
        <v>126.97</v>
      </c>
      <c r="I24" s="70">
        <v>7.0000000000000007E-2</v>
      </c>
      <c r="J24" s="70">
        <v>121.87</v>
      </c>
      <c r="K24" s="70">
        <v>-0.35</v>
      </c>
      <c r="L24" s="64">
        <f t="shared" si="0"/>
        <v>275.06</v>
      </c>
    </row>
    <row r="25" spans="1:12" x14ac:dyDescent="0.25">
      <c r="A25" s="65">
        <v>2572</v>
      </c>
      <c r="B25" s="65" t="s">
        <v>229</v>
      </c>
      <c r="C25" s="65" t="s">
        <v>1084</v>
      </c>
      <c r="D25" s="65">
        <v>0</v>
      </c>
      <c r="E25" s="65"/>
      <c r="F25" s="70">
        <v>-275.67</v>
      </c>
      <c r="G25" s="70">
        <v>-0.77</v>
      </c>
      <c r="H25" s="70">
        <v>126.94</v>
      </c>
      <c r="I25" s="70">
        <v>7.0000000000000007E-2</v>
      </c>
      <c r="J25" s="70">
        <v>121.81</v>
      </c>
      <c r="K25" s="70">
        <v>-0.35</v>
      </c>
      <c r="L25" s="64">
        <f t="shared" si="0"/>
        <v>275.67</v>
      </c>
    </row>
    <row r="26" spans="1:12" x14ac:dyDescent="0.25">
      <c r="A26" s="65">
        <v>70</v>
      </c>
      <c r="B26" s="65" t="s">
        <v>229</v>
      </c>
      <c r="C26" s="65" t="s">
        <v>293</v>
      </c>
      <c r="D26" s="65">
        <v>4</v>
      </c>
      <c r="E26" s="65"/>
      <c r="F26" s="70">
        <v>-270.45999999999998</v>
      </c>
      <c r="G26" s="70">
        <v>-0.77</v>
      </c>
      <c r="H26" s="70">
        <v>126.77</v>
      </c>
      <c r="I26" s="70">
        <v>7.0000000000000007E-2</v>
      </c>
      <c r="J26" s="70">
        <v>-6.24</v>
      </c>
      <c r="K26" s="70">
        <v>0.44</v>
      </c>
      <c r="L26" s="64">
        <f t="shared" si="0"/>
        <v>270.45999999999998</v>
      </c>
    </row>
    <row r="27" spans="1:12" x14ac:dyDescent="0.25">
      <c r="A27" s="65">
        <v>2572</v>
      </c>
      <c r="B27" s="65" t="s">
        <v>229</v>
      </c>
      <c r="C27" s="65" t="s">
        <v>1085</v>
      </c>
      <c r="D27" s="65">
        <v>4</v>
      </c>
      <c r="E27" s="65"/>
      <c r="F27" s="70">
        <v>-271.07</v>
      </c>
      <c r="G27" s="70">
        <v>-0.77</v>
      </c>
      <c r="H27" s="70">
        <v>126.74</v>
      </c>
      <c r="I27" s="70">
        <v>7.0000000000000007E-2</v>
      </c>
      <c r="J27" s="70">
        <v>-6.41</v>
      </c>
      <c r="K27" s="70">
        <v>0.44</v>
      </c>
      <c r="L27" s="64">
        <f t="shared" si="0"/>
        <v>271.07</v>
      </c>
    </row>
    <row r="28" spans="1:12" x14ac:dyDescent="0.25">
      <c r="A28" s="65">
        <v>1781</v>
      </c>
      <c r="B28" s="65" t="s">
        <v>229</v>
      </c>
      <c r="C28" s="65" t="s">
        <v>331</v>
      </c>
      <c r="D28" s="65">
        <v>4</v>
      </c>
      <c r="E28" s="65"/>
      <c r="F28" s="70">
        <v>448.02</v>
      </c>
      <c r="G28" s="70">
        <v>-8.33</v>
      </c>
      <c r="H28" s="70">
        <v>83.73</v>
      </c>
      <c r="I28" s="70">
        <v>-0.73</v>
      </c>
      <c r="J28" s="70">
        <v>64.03</v>
      </c>
      <c r="K28" s="70">
        <v>3.95</v>
      </c>
      <c r="L28" s="64">
        <f t="shared" si="0"/>
        <v>-448.02</v>
      </c>
    </row>
    <row r="29" spans="1:12" x14ac:dyDescent="0.25">
      <c r="A29" s="65">
        <v>1782</v>
      </c>
      <c r="B29" s="65" t="s">
        <v>229</v>
      </c>
      <c r="C29" s="65" t="s">
        <v>333</v>
      </c>
      <c r="D29" s="65">
        <v>4</v>
      </c>
      <c r="E29" s="65"/>
      <c r="F29" s="70">
        <v>345.51</v>
      </c>
      <c r="G29" s="70">
        <v>-8.98</v>
      </c>
      <c r="H29" s="70">
        <v>83.41</v>
      </c>
      <c r="I29" s="70">
        <v>-0.72</v>
      </c>
      <c r="J29" s="70">
        <v>49.08</v>
      </c>
      <c r="K29" s="70">
        <v>4.2</v>
      </c>
      <c r="L29" s="64">
        <f t="shared" si="0"/>
        <v>-345.51</v>
      </c>
    </row>
    <row r="30" spans="1:12" x14ac:dyDescent="0.25">
      <c r="A30" s="65">
        <v>2471</v>
      </c>
      <c r="B30" s="65" t="s">
        <v>229</v>
      </c>
      <c r="C30" s="65" t="s">
        <v>991</v>
      </c>
      <c r="D30" s="65">
        <v>4</v>
      </c>
      <c r="E30" s="65"/>
      <c r="F30" s="70">
        <v>448.05</v>
      </c>
      <c r="G30" s="70">
        <v>-8.34</v>
      </c>
      <c r="H30" s="70">
        <v>81.790000000000006</v>
      </c>
      <c r="I30" s="70">
        <v>-0.73</v>
      </c>
      <c r="J30" s="70">
        <v>64.84</v>
      </c>
      <c r="K30" s="70">
        <v>3.96</v>
      </c>
      <c r="L30" s="64">
        <f t="shared" si="0"/>
        <v>-448.05</v>
      </c>
    </row>
    <row r="31" spans="1:12" x14ac:dyDescent="0.25">
      <c r="A31" s="65">
        <v>2472</v>
      </c>
      <c r="B31" s="65" t="s">
        <v>229</v>
      </c>
      <c r="C31" s="65" t="s">
        <v>993</v>
      </c>
      <c r="D31" s="65">
        <v>4</v>
      </c>
      <c r="E31" s="65"/>
      <c r="F31" s="70">
        <v>345.56</v>
      </c>
      <c r="G31" s="70">
        <v>-8.98</v>
      </c>
      <c r="H31" s="70">
        <v>81.349999999999994</v>
      </c>
      <c r="I31" s="70">
        <v>-0.72</v>
      </c>
      <c r="J31" s="70">
        <v>50.06</v>
      </c>
      <c r="K31" s="70">
        <v>4.2</v>
      </c>
      <c r="L31" s="64">
        <f t="shared" si="0"/>
        <v>-345.56</v>
      </c>
    </row>
    <row r="32" spans="1:12" x14ac:dyDescent="0.25">
      <c r="A32" s="65">
        <v>1780</v>
      </c>
      <c r="B32" s="65" t="s">
        <v>229</v>
      </c>
      <c r="C32" s="65" t="s">
        <v>329</v>
      </c>
      <c r="D32" s="65">
        <v>4</v>
      </c>
      <c r="E32" s="65"/>
      <c r="F32" s="70">
        <v>516.30999999999995</v>
      </c>
      <c r="G32" s="70">
        <v>-7.79</v>
      </c>
      <c r="H32" s="70">
        <v>79.72</v>
      </c>
      <c r="I32" s="70">
        <v>-0.74</v>
      </c>
      <c r="J32" s="70">
        <v>76.94</v>
      </c>
      <c r="K32" s="70">
        <v>3.75</v>
      </c>
      <c r="L32" s="64">
        <f t="shared" si="0"/>
        <v>-516.30999999999995</v>
      </c>
    </row>
    <row r="33" spans="1:12" x14ac:dyDescent="0.25">
      <c r="A33" s="65">
        <v>1783</v>
      </c>
      <c r="B33" s="65" t="s">
        <v>229</v>
      </c>
      <c r="C33" s="65" t="s">
        <v>335</v>
      </c>
      <c r="D33" s="65">
        <v>4</v>
      </c>
      <c r="E33" s="65"/>
      <c r="F33" s="70">
        <v>225.8</v>
      </c>
      <c r="G33" s="70">
        <v>-9.9</v>
      </c>
      <c r="H33" s="70">
        <v>79.06</v>
      </c>
      <c r="I33" s="70">
        <v>-0.69</v>
      </c>
      <c r="J33" s="70">
        <v>35.25</v>
      </c>
      <c r="K33" s="70">
        <v>4.59</v>
      </c>
      <c r="L33" s="64">
        <f t="shared" si="0"/>
        <v>-225.8</v>
      </c>
    </row>
    <row r="34" spans="1:12" x14ac:dyDescent="0.25">
      <c r="A34" s="65">
        <v>2470</v>
      </c>
      <c r="B34" s="65" t="s">
        <v>229</v>
      </c>
      <c r="C34" s="65" t="s">
        <v>989</v>
      </c>
      <c r="D34" s="65">
        <v>4</v>
      </c>
      <c r="E34" s="65"/>
      <c r="F34" s="70">
        <v>516.32000000000005</v>
      </c>
      <c r="G34" s="70">
        <v>-7.79</v>
      </c>
      <c r="H34" s="70">
        <v>77.89</v>
      </c>
      <c r="I34" s="70">
        <v>-0.74</v>
      </c>
      <c r="J34" s="70">
        <v>77.760000000000005</v>
      </c>
      <c r="K34" s="70">
        <v>3.76</v>
      </c>
      <c r="L34" s="64">
        <f t="shared" si="0"/>
        <v>-516.32000000000005</v>
      </c>
    </row>
    <row r="35" spans="1:12" x14ac:dyDescent="0.25">
      <c r="A35" s="65">
        <v>2473</v>
      </c>
      <c r="B35" s="65" t="s">
        <v>229</v>
      </c>
      <c r="C35" s="65" t="s">
        <v>995</v>
      </c>
      <c r="D35" s="65">
        <v>4</v>
      </c>
      <c r="E35" s="65"/>
      <c r="F35" s="70">
        <v>226.44</v>
      </c>
      <c r="G35" s="70">
        <v>-9.89</v>
      </c>
      <c r="H35" s="70">
        <v>76.930000000000007</v>
      </c>
      <c r="I35" s="70">
        <v>-0.69</v>
      </c>
      <c r="J35" s="70">
        <v>36.25</v>
      </c>
      <c r="K35" s="70">
        <v>4.58</v>
      </c>
      <c r="L35" s="64">
        <f t="shared" si="0"/>
        <v>-226.44</v>
      </c>
    </row>
    <row r="36" spans="1:12" x14ac:dyDescent="0.25">
      <c r="A36" s="65">
        <v>1781</v>
      </c>
      <c r="B36" s="65" t="s">
        <v>229</v>
      </c>
      <c r="C36" s="65" t="s">
        <v>330</v>
      </c>
      <c r="D36" s="65">
        <v>0</v>
      </c>
      <c r="E36" s="65"/>
      <c r="F36" s="70">
        <v>448.78</v>
      </c>
      <c r="G36" s="70">
        <v>-8.33</v>
      </c>
      <c r="H36" s="70">
        <v>74.540000000000006</v>
      </c>
      <c r="I36" s="70">
        <v>-0.73</v>
      </c>
      <c r="J36" s="70">
        <v>76.36</v>
      </c>
      <c r="K36" s="70">
        <v>-4.29</v>
      </c>
      <c r="L36" s="64">
        <f t="shared" si="0"/>
        <v>-448.78</v>
      </c>
    </row>
    <row r="37" spans="1:12" x14ac:dyDescent="0.25">
      <c r="A37" s="65">
        <v>1782</v>
      </c>
      <c r="B37" s="65" t="s">
        <v>229</v>
      </c>
      <c r="C37" s="65" t="s">
        <v>332</v>
      </c>
      <c r="D37" s="65">
        <v>0</v>
      </c>
      <c r="E37" s="65"/>
      <c r="F37" s="70">
        <v>346.65</v>
      </c>
      <c r="G37" s="70">
        <v>-8.98</v>
      </c>
      <c r="H37" s="70">
        <v>74.25</v>
      </c>
      <c r="I37" s="70">
        <v>-0.72</v>
      </c>
      <c r="J37" s="70">
        <v>63.54</v>
      </c>
      <c r="K37" s="70">
        <v>-4.68</v>
      </c>
      <c r="L37" s="64">
        <f t="shared" si="0"/>
        <v>-346.65</v>
      </c>
    </row>
    <row r="38" spans="1:12" x14ac:dyDescent="0.25">
      <c r="A38" s="65">
        <v>1779</v>
      </c>
      <c r="B38" s="65" t="s">
        <v>229</v>
      </c>
      <c r="C38" s="65" t="s">
        <v>327</v>
      </c>
      <c r="D38" s="65">
        <v>4</v>
      </c>
      <c r="E38" s="65"/>
      <c r="F38" s="70">
        <v>540.23</v>
      </c>
      <c r="G38" s="70">
        <v>-7.51</v>
      </c>
      <c r="H38" s="70">
        <v>72.77</v>
      </c>
      <c r="I38" s="70">
        <v>-0.74</v>
      </c>
      <c r="J38" s="70">
        <v>84.01</v>
      </c>
      <c r="K38" s="70">
        <v>3.74</v>
      </c>
      <c r="L38" s="64">
        <f t="shared" si="0"/>
        <v>-540.23</v>
      </c>
    </row>
    <row r="39" spans="1:12" x14ac:dyDescent="0.25">
      <c r="A39" s="65">
        <v>2471</v>
      </c>
      <c r="B39" s="65" t="s">
        <v>229</v>
      </c>
      <c r="C39" s="65" t="s">
        <v>990</v>
      </c>
      <c r="D39" s="65">
        <v>0</v>
      </c>
      <c r="E39" s="65"/>
      <c r="F39" s="70">
        <v>448.81</v>
      </c>
      <c r="G39" s="70">
        <v>-8.34</v>
      </c>
      <c r="H39" s="70">
        <v>72.59</v>
      </c>
      <c r="I39" s="70">
        <v>-0.73</v>
      </c>
      <c r="J39" s="70">
        <v>75.5</v>
      </c>
      <c r="K39" s="70">
        <v>-4.29</v>
      </c>
      <c r="L39" s="64">
        <f t="shared" si="0"/>
        <v>-448.81</v>
      </c>
    </row>
    <row r="40" spans="1:12" x14ac:dyDescent="0.25">
      <c r="A40" s="65">
        <v>1784</v>
      </c>
      <c r="B40" s="65" t="s">
        <v>229</v>
      </c>
      <c r="C40" s="65" t="s">
        <v>337</v>
      </c>
      <c r="D40" s="65">
        <v>4</v>
      </c>
      <c r="E40" s="65"/>
      <c r="F40" s="70">
        <v>109.65</v>
      </c>
      <c r="G40" s="70">
        <v>-10.78</v>
      </c>
      <c r="H40" s="70">
        <v>72.540000000000006</v>
      </c>
      <c r="I40" s="70">
        <v>-0.67</v>
      </c>
      <c r="J40" s="70">
        <v>-35.6</v>
      </c>
      <c r="K40" s="70">
        <v>4.96</v>
      </c>
      <c r="L40" s="64">
        <f t="shared" si="0"/>
        <v>-109.65</v>
      </c>
    </row>
    <row r="41" spans="1:12" x14ac:dyDescent="0.25">
      <c r="A41" s="65">
        <v>2472</v>
      </c>
      <c r="B41" s="65" t="s">
        <v>229</v>
      </c>
      <c r="C41" s="65" t="s">
        <v>992</v>
      </c>
      <c r="D41" s="65">
        <v>0</v>
      </c>
      <c r="E41" s="65"/>
      <c r="F41" s="70">
        <v>346.69</v>
      </c>
      <c r="G41" s="70">
        <v>-8.98</v>
      </c>
      <c r="H41" s="70">
        <v>72.2</v>
      </c>
      <c r="I41" s="70">
        <v>-0.72</v>
      </c>
      <c r="J41" s="70">
        <v>62.55</v>
      </c>
      <c r="K41" s="70">
        <v>-4.68</v>
      </c>
      <c r="L41" s="64">
        <f t="shared" si="0"/>
        <v>-346.69</v>
      </c>
    </row>
    <row r="42" spans="1:12" x14ac:dyDescent="0.25">
      <c r="A42" s="65">
        <v>2469</v>
      </c>
      <c r="B42" s="65" t="s">
        <v>229</v>
      </c>
      <c r="C42" s="65" t="s">
        <v>987</v>
      </c>
      <c r="D42" s="65">
        <v>4</v>
      </c>
      <c r="E42" s="65"/>
      <c r="F42" s="70">
        <v>540.22</v>
      </c>
      <c r="G42" s="70">
        <v>-7.51</v>
      </c>
      <c r="H42" s="70">
        <v>71.03</v>
      </c>
      <c r="I42" s="70">
        <v>-0.74</v>
      </c>
      <c r="J42" s="70">
        <v>84.85</v>
      </c>
      <c r="K42" s="70">
        <v>3.75</v>
      </c>
      <c r="L42" s="64">
        <f t="shared" si="0"/>
        <v>-540.22</v>
      </c>
    </row>
    <row r="43" spans="1:12" x14ac:dyDescent="0.25">
      <c r="A43" s="65">
        <v>1850</v>
      </c>
      <c r="B43" s="65" t="s">
        <v>229</v>
      </c>
      <c r="C43" s="65" t="s">
        <v>397</v>
      </c>
      <c r="D43" s="65">
        <v>4</v>
      </c>
      <c r="E43" s="65"/>
      <c r="F43" s="70">
        <v>446.78</v>
      </c>
      <c r="G43" s="70">
        <v>-8.33</v>
      </c>
      <c r="H43" s="70">
        <v>70.91</v>
      </c>
      <c r="I43" s="70">
        <v>-0.73</v>
      </c>
      <c r="J43" s="70">
        <v>58.79</v>
      </c>
      <c r="K43" s="70">
        <v>3.95</v>
      </c>
      <c r="L43" s="64">
        <f t="shared" si="0"/>
        <v>-446.78</v>
      </c>
    </row>
    <row r="44" spans="1:12" x14ac:dyDescent="0.25">
      <c r="A44" s="65">
        <v>1851</v>
      </c>
      <c r="B44" s="65" t="s">
        <v>229</v>
      </c>
      <c r="C44" s="65" t="s">
        <v>399</v>
      </c>
      <c r="D44" s="65">
        <v>4</v>
      </c>
      <c r="E44" s="65"/>
      <c r="F44" s="70">
        <v>344.53</v>
      </c>
      <c r="G44" s="70">
        <v>-8.98</v>
      </c>
      <c r="H44" s="70">
        <v>70.739999999999995</v>
      </c>
      <c r="I44" s="70">
        <v>-0.72</v>
      </c>
      <c r="J44" s="70">
        <v>44.09</v>
      </c>
      <c r="K44" s="70">
        <v>4.2</v>
      </c>
      <c r="L44" s="64">
        <f t="shared" si="0"/>
        <v>-344.53</v>
      </c>
    </row>
    <row r="45" spans="1:12" x14ac:dyDescent="0.25">
      <c r="A45" s="65">
        <v>1780</v>
      </c>
      <c r="B45" s="65" t="s">
        <v>229</v>
      </c>
      <c r="C45" s="65" t="s">
        <v>328</v>
      </c>
      <c r="D45" s="65">
        <v>0</v>
      </c>
      <c r="E45" s="65"/>
      <c r="F45" s="70">
        <v>516.69000000000005</v>
      </c>
      <c r="G45" s="70">
        <v>-7.79</v>
      </c>
      <c r="H45" s="70">
        <v>70.5</v>
      </c>
      <c r="I45" s="70">
        <v>-0.74</v>
      </c>
      <c r="J45" s="70">
        <v>84.35</v>
      </c>
      <c r="K45" s="70">
        <v>-3.95</v>
      </c>
      <c r="L45" s="64">
        <f t="shared" si="0"/>
        <v>-516.69000000000005</v>
      </c>
    </row>
    <row r="46" spans="1:12" x14ac:dyDescent="0.25">
      <c r="A46" s="65">
        <v>2474</v>
      </c>
      <c r="B46" s="65" t="s">
        <v>229</v>
      </c>
      <c r="C46" s="65" t="s">
        <v>997</v>
      </c>
      <c r="D46" s="65">
        <v>4</v>
      </c>
      <c r="E46" s="65"/>
      <c r="F46" s="70">
        <v>109.63</v>
      </c>
      <c r="G46" s="70">
        <v>-10.75</v>
      </c>
      <c r="H46" s="70">
        <v>70.34</v>
      </c>
      <c r="I46" s="70">
        <v>-0.67</v>
      </c>
      <c r="J46" s="70">
        <v>-34.24</v>
      </c>
      <c r="K46" s="70">
        <v>4.95</v>
      </c>
      <c r="L46" s="64">
        <f t="shared" si="0"/>
        <v>-109.63</v>
      </c>
    </row>
    <row r="47" spans="1:12" x14ac:dyDescent="0.25">
      <c r="A47" s="65">
        <v>1783</v>
      </c>
      <c r="B47" s="65" t="s">
        <v>229</v>
      </c>
      <c r="C47" s="65" t="s">
        <v>334</v>
      </c>
      <c r="D47" s="65">
        <v>0</v>
      </c>
      <c r="E47" s="65"/>
      <c r="F47" s="70">
        <v>227.32</v>
      </c>
      <c r="G47" s="70">
        <v>-9.9</v>
      </c>
      <c r="H47" s="70">
        <v>69.959999999999994</v>
      </c>
      <c r="I47" s="70">
        <v>-0.69</v>
      </c>
      <c r="J47" s="70">
        <v>50.06</v>
      </c>
      <c r="K47" s="70">
        <v>-5.21</v>
      </c>
      <c r="L47" s="64">
        <f t="shared" si="0"/>
        <v>-227.32</v>
      </c>
    </row>
    <row r="48" spans="1:12" x14ac:dyDescent="0.25">
      <c r="A48" s="65">
        <v>2402</v>
      </c>
      <c r="B48" s="65" t="s">
        <v>229</v>
      </c>
      <c r="C48" s="65" t="s">
        <v>925</v>
      </c>
      <c r="D48" s="65">
        <v>4</v>
      </c>
      <c r="E48" s="65"/>
      <c r="F48" s="70">
        <v>446.8</v>
      </c>
      <c r="G48" s="70">
        <v>-8.34</v>
      </c>
      <c r="H48" s="70">
        <v>69.349999999999994</v>
      </c>
      <c r="I48" s="70">
        <v>-0.73</v>
      </c>
      <c r="J48" s="70">
        <v>59.49</v>
      </c>
      <c r="K48" s="70">
        <v>3.96</v>
      </c>
      <c r="L48" s="64">
        <f t="shared" si="0"/>
        <v>-446.8</v>
      </c>
    </row>
    <row r="49" spans="1:12" x14ac:dyDescent="0.25">
      <c r="A49" s="65">
        <v>2403</v>
      </c>
      <c r="B49" s="65" t="s">
        <v>229</v>
      </c>
      <c r="C49" s="65" t="s">
        <v>927</v>
      </c>
      <c r="D49" s="65">
        <v>4</v>
      </c>
      <c r="E49" s="65"/>
      <c r="F49" s="70">
        <v>344.56</v>
      </c>
      <c r="G49" s="70">
        <v>-8.98</v>
      </c>
      <c r="H49" s="70">
        <v>69.099999999999994</v>
      </c>
      <c r="I49" s="70">
        <v>-0.72</v>
      </c>
      <c r="J49" s="70">
        <v>44.77</v>
      </c>
      <c r="K49" s="70">
        <v>4.2</v>
      </c>
      <c r="L49" s="64">
        <f t="shared" si="0"/>
        <v>-344.56</v>
      </c>
    </row>
    <row r="50" spans="1:12" x14ac:dyDescent="0.25">
      <c r="A50" s="65">
        <v>2470</v>
      </c>
      <c r="B50" s="65" t="s">
        <v>229</v>
      </c>
      <c r="C50" s="65" t="s">
        <v>988</v>
      </c>
      <c r="D50" s="65">
        <v>0</v>
      </c>
      <c r="E50" s="65"/>
      <c r="F50" s="70">
        <v>516.70000000000005</v>
      </c>
      <c r="G50" s="70">
        <v>-7.79</v>
      </c>
      <c r="H50" s="70">
        <v>68.67</v>
      </c>
      <c r="I50" s="70">
        <v>-0.74</v>
      </c>
      <c r="J50" s="70">
        <v>83.49</v>
      </c>
      <c r="K50" s="70">
        <v>-3.95</v>
      </c>
      <c r="L50" s="64">
        <f t="shared" si="0"/>
        <v>-516.70000000000005</v>
      </c>
    </row>
    <row r="51" spans="1:12" x14ac:dyDescent="0.25">
      <c r="A51" s="65">
        <v>2473</v>
      </c>
      <c r="B51" s="65" t="s">
        <v>229</v>
      </c>
      <c r="C51" s="65" t="s">
        <v>994</v>
      </c>
      <c r="D51" s="65">
        <v>0</v>
      </c>
      <c r="E51" s="65"/>
      <c r="F51" s="70">
        <v>227.95</v>
      </c>
      <c r="G51" s="70">
        <v>-9.89</v>
      </c>
      <c r="H51" s="70">
        <v>67.83</v>
      </c>
      <c r="I51" s="70">
        <v>-0.69</v>
      </c>
      <c r="J51" s="70">
        <v>49.08</v>
      </c>
      <c r="K51" s="70">
        <v>-5.2</v>
      </c>
      <c r="L51" s="64">
        <f t="shared" si="0"/>
        <v>-227.95</v>
      </c>
    </row>
    <row r="52" spans="1:12" x14ac:dyDescent="0.25">
      <c r="A52" s="65">
        <v>1849</v>
      </c>
      <c r="B52" s="65" t="s">
        <v>229</v>
      </c>
      <c r="C52" s="65" t="s">
        <v>395</v>
      </c>
      <c r="D52" s="65">
        <v>4</v>
      </c>
      <c r="E52" s="65"/>
      <c r="F52" s="70">
        <v>513.39</v>
      </c>
      <c r="G52" s="70">
        <v>-7.79</v>
      </c>
      <c r="H52" s="70">
        <v>66.88</v>
      </c>
      <c r="I52" s="70">
        <v>-0.74</v>
      </c>
      <c r="J52" s="70">
        <v>70.8</v>
      </c>
      <c r="K52" s="70">
        <v>3.75</v>
      </c>
      <c r="L52" s="64">
        <f t="shared" si="0"/>
        <v>-513.39</v>
      </c>
    </row>
    <row r="53" spans="1:12" x14ac:dyDescent="0.25">
      <c r="A53" s="65">
        <v>1852</v>
      </c>
      <c r="B53" s="65" t="s">
        <v>229</v>
      </c>
      <c r="C53" s="65" t="s">
        <v>401</v>
      </c>
      <c r="D53" s="65">
        <v>4</v>
      </c>
      <c r="E53" s="65"/>
      <c r="F53" s="70">
        <v>225.04</v>
      </c>
      <c r="G53" s="70">
        <v>-9.9</v>
      </c>
      <c r="H53" s="70">
        <v>66.819999999999993</v>
      </c>
      <c r="I53" s="70">
        <v>-0.69</v>
      </c>
      <c r="J53" s="70">
        <v>30.23</v>
      </c>
      <c r="K53" s="70">
        <v>4.59</v>
      </c>
      <c r="L53" s="64">
        <f t="shared" si="0"/>
        <v>-225.04</v>
      </c>
    </row>
    <row r="54" spans="1:12" x14ac:dyDescent="0.25">
      <c r="A54" s="65">
        <v>1764</v>
      </c>
      <c r="B54" s="65" t="s">
        <v>229</v>
      </c>
      <c r="C54" s="65" t="s">
        <v>297</v>
      </c>
      <c r="D54" s="65">
        <v>4</v>
      </c>
      <c r="E54" s="65"/>
      <c r="F54" s="70">
        <v>-724.89</v>
      </c>
      <c r="G54" s="70">
        <v>-7.21</v>
      </c>
      <c r="H54" s="70">
        <v>66.3</v>
      </c>
      <c r="I54" s="70">
        <v>0.14000000000000001</v>
      </c>
      <c r="J54" s="70">
        <v>-58.39</v>
      </c>
      <c r="K54" s="70">
        <v>4.12</v>
      </c>
      <c r="L54" s="64">
        <f t="shared" si="0"/>
        <v>724.89</v>
      </c>
    </row>
    <row r="55" spans="1:12" x14ac:dyDescent="0.25">
      <c r="A55" s="65">
        <v>2454</v>
      </c>
      <c r="B55" s="65" t="s">
        <v>229</v>
      </c>
      <c r="C55" s="65" t="s">
        <v>957</v>
      </c>
      <c r="D55" s="65">
        <v>4</v>
      </c>
      <c r="E55" s="65"/>
      <c r="F55" s="70">
        <v>-725.94</v>
      </c>
      <c r="G55" s="70">
        <v>-7.22</v>
      </c>
      <c r="H55" s="70">
        <v>66.16</v>
      </c>
      <c r="I55" s="70">
        <v>-0.14000000000000001</v>
      </c>
      <c r="J55" s="70">
        <v>-58.39</v>
      </c>
      <c r="K55" s="70">
        <v>4.13</v>
      </c>
      <c r="L55" s="64">
        <f t="shared" si="0"/>
        <v>725.94</v>
      </c>
    </row>
    <row r="56" spans="1:12" x14ac:dyDescent="0.25">
      <c r="A56" s="65">
        <v>1785</v>
      </c>
      <c r="B56" s="65" t="s">
        <v>229</v>
      </c>
      <c r="C56" s="65" t="s">
        <v>339</v>
      </c>
      <c r="D56" s="65">
        <v>4</v>
      </c>
      <c r="E56" s="65"/>
      <c r="F56" s="70">
        <v>-237.88</v>
      </c>
      <c r="G56" s="70">
        <v>-12.07</v>
      </c>
      <c r="H56" s="70">
        <v>65.66</v>
      </c>
      <c r="I56" s="70">
        <v>-0.63</v>
      </c>
      <c r="J56" s="70">
        <v>-38.700000000000003</v>
      </c>
      <c r="K56" s="70">
        <v>5.54</v>
      </c>
      <c r="L56" s="64">
        <f t="shared" si="0"/>
        <v>237.88</v>
      </c>
    </row>
    <row r="57" spans="1:12" x14ac:dyDescent="0.25">
      <c r="A57" s="65">
        <v>2401</v>
      </c>
      <c r="B57" s="65" t="s">
        <v>229</v>
      </c>
      <c r="C57" s="65" t="s">
        <v>923</v>
      </c>
      <c r="D57" s="65">
        <v>4</v>
      </c>
      <c r="E57" s="65"/>
      <c r="F57" s="70">
        <v>513.39</v>
      </c>
      <c r="G57" s="70">
        <v>-7.79</v>
      </c>
      <c r="H57" s="70">
        <v>65.41</v>
      </c>
      <c r="I57" s="70">
        <v>-0.74</v>
      </c>
      <c r="J57" s="70">
        <v>71.52</v>
      </c>
      <c r="K57" s="70">
        <v>3.76</v>
      </c>
      <c r="L57" s="64">
        <f t="shared" si="0"/>
        <v>-513.39</v>
      </c>
    </row>
    <row r="58" spans="1:12" x14ac:dyDescent="0.25">
      <c r="A58" s="65">
        <v>2404</v>
      </c>
      <c r="B58" s="65" t="s">
        <v>229</v>
      </c>
      <c r="C58" s="65" t="s">
        <v>929</v>
      </c>
      <c r="D58" s="65">
        <v>4</v>
      </c>
      <c r="E58" s="65"/>
      <c r="F58" s="70">
        <v>225.86</v>
      </c>
      <c r="G58" s="70">
        <v>-9.89</v>
      </c>
      <c r="H58" s="70">
        <v>65.12</v>
      </c>
      <c r="I58" s="70">
        <v>-0.69</v>
      </c>
      <c r="J58" s="70">
        <v>30.97</v>
      </c>
      <c r="K58" s="70">
        <v>4.58</v>
      </c>
      <c r="L58" s="64">
        <f t="shared" si="0"/>
        <v>-225.86</v>
      </c>
    </row>
    <row r="59" spans="1:12" x14ac:dyDescent="0.25">
      <c r="A59" s="65">
        <v>1764</v>
      </c>
      <c r="B59" s="65" t="s">
        <v>229</v>
      </c>
      <c r="C59" s="65" t="s">
        <v>296</v>
      </c>
      <c r="D59" s="65">
        <v>0</v>
      </c>
      <c r="E59" s="65"/>
      <c r="F59" s="70">
        <v>-733.99</v>
      </c>
      <c r="G59" s="70">
        <v>-7.21</v>
      </c>
      <c r="H59" s="70">
        <v>64.87</v>
      </c>
      <c r="I59" s="70">
        <v>0.14000000000000001</v>
      </c>
      <c r="J59" s="70">
        <v>7.47</v>
      </c>
      <c r="K59" s="70">
        <v>-3.2</v>
      </c>
      <c r="L59" s="64">
        <f t="shared" si="0"/>
        <v>733.99</v>
      </c>
    </row>
    <row r="60" spans="1:12" x14ac:dyDescent="0.25">
      <c r="A60" s="65">
        <v>2454</v>
      </c>
      <c r="B60" s="65" t="s">
        <v>229</v>
      </c>
      <c r="C60" s="65" t="s">
        <v>956</v>
      </c>
      <c r="D60" s="65">
        <v>0</v>
      </c>
      <c r="E60" s="65"/>
      <c r="F60" s="70">
        <v>-735.04</v>
      </c>
      <c r="G60" s="70">
        <v>-7.22</v>
      </c>
      <c r="H60" s="70">
        <v>64.739999999999995</v>
      </c>
      <c r="I60" s="70">
        <v>-0.14000000000000001</v>
      </c>
      <c r="J60" s="70">
        <v>7.58</v>
      </c>
      <c r="K60" s="70">
        <v>-3.2</v>
      </c>
      <c r="L60" s="64">
        <f t="shared" si="0"/>
        <v>735.04</v>
      </c>
    </row>
    <row r="61" spans="1:12" x14ac:dyDescent="0.25">
      <c r="A61" s="65">
        <v>1833</v>
      </c>
      <c r="B61" s="65" t="s">
        <v>229</v>
      </c>
      <c r="C61" s="65" t="s">
        <v>363</v>
      </c>
      <c r="D61" s="65">
        <v>4</v>
      </c>
      <c r="E61" s="65"/>
      <c r="F61" s="70">
        <v>-715.74</v>
      </c>
      <c r="G61" s="70">
        <v>-7.21</v>
      </c>
      <c r="H61" s="70">
        <v>64.069999999999993</v>
      </c>
      <c r="I61" s="70">
        <v>0.14000000000000001</v>
      </c>
      <c r="J61" s="70">
        <v>-57.81</v>
      </c>
      <c r="K61" s="70">
        <v>4.12</v>
      </c>
      <c r="L61" s="64">
        <f t="shared" si="0"/>
        <v>715.74</v>
      </c>
    </row>
    <row r="62" spans="1:12" x14ac:dyDescent="0.25">
      <c r="A62" s="65">
        <v>2385</v>
      </c>
      <c r="B62" s="65" t="s">
        <v>229</v>
      </c>
      <c r="C62" s="65" t="s">
        <v>891</v>
      </c>
      <c r="D62" s="65">
        <v>4</v>
      </c>
      <c r="E62" s="65"/>
      <c r="F62" s="70">
        <v>-716.6</v>
      </c>
      <c r="G62" s="70">
        <v>-7.22</v>
      </c>
      <c r="H62" s="70">
        <v>63.91</v>
      </c>
      <c r="I62" s="70">
        <v>0.14000000000000001</v>
      </c>
      <c r="J62" s="70">
        <v>-57.86</v>
      </c>
      <c r="K62" s="70">
        <v>4.13</v>
      </c>
      <c r="L62" s="64">
        <f t="shared" si="0"/>
        <v>716.6</v>
      </c>
    </row>
    <row r="63" spans="1:12" x14ac:dyDescent="0.25">
      <c r="A63" s="65">
        <v>1784</v>
      </c>
      <c r="B63" s="65" t="s">
        <v>229</v>
      </c>
      <c r="C63" s="65" t="s">
        <v>336</v>
      </c>
      <c r="D63" s="65">
        <v>0</v>
      </c>
      <c r="E63" s="65"/>
      <c r="F63" s="70">
        <v>111.54</v>
      </c>
      <c r="G63" s="70">
        <v>-10.78</v>
      </c>
      <c r="H63" s="70">
        <v>63.51</v>
      </c>
      <c r="I63" s="70">
        <v>-0.67</v>
      </c>
      <c r="J63" s="70">
        <v>36.92</v>
      </c>
      <c r="K63" s="70">
        <v>-5.71</v>
      </c>
      <c r="L63" s="64">
        <f t="shared" si="0"/>
        <v>-111.54</v>
      </c>
    </row>
    <row r="64" spans="1:12" x14ac:dyDescent="0.25">
      <c r="A64" s="65">
        <v>2475</v>
      </c>
      <c r="B64" s="65" t="s">
        <v>229</v>
      </c>
      <c r="C64" s="65" t="s">
        <v>999</v>
      </c>
      <c r="D64" s="65">
        <v>4</v>
      </c>
      <c r="E64" s="65"/>
      <c r="F64" s="70">
        <v>-234.28</v>
      </c>
      <c r="G64" s="70">
        <v>-12.01</v>
      </c>
      <c r="H64" s="70">
        <v>63.45</v>
      </c>
      <c r="I64" s="70">
        <v>-0.62</v>
      </c>
      <c r="J64" s="70">
        <v>-37.32</v>
      </c>
      <c r="K64" s="70">
        <v>5.51</v>
      </c>
      <c r="L64" s="64">
        <f t="shared" si="0"/>
        <v>234.28</v>
      </c>
    </row>
    <row r="65" spans="1:12" x14ac:dyDescent="0.25">
      <c r="A65" s="65">
        <v>1833</v>
      </c>
      <c r="B65" s="65" t="s">
        <v>229</v>
      </c>
      <c r="C65" s="65" t="s">
        <v>362</v>
      </c>
      <c r="D65" s="65">
        <v>0</v>
      </c>
      <c r="E65" s="65"/>
      <c r="F65" s="70">
        <v>-724.84</v>
      </c>
      <c r="G65" s="70">
        <v>-7.21</v>
      </c>
      <c r="H65" s="70">
        <v>62.64</v>
      </c>
      <c r="I65" s="70">
        <v>0.14000000000000001</v>
      </c>
      <c r="J65" s="70">
        <v>6.43</v>
      </c>
      <c r="K65" s="70">
        <v>-3.2</v>
      </c>
      <c r="L65" s="64">
        <f t="shared" si="0"/>
        <v>724.84</v>
      </c>
    </row>
    <row r="66" spans="1:12" x14ac:dyDescent="0.25">
      <c r="A66" s="65">
        <v>2385</v>
      </c>
      <c r="B66" s="65" t="s">
        <v>229</v>
      </c>
      <c r="C66" s="65" t="s">
        <v>890</v>
      </c>
      <c r="D66" s="65">
        <v>0</v>
      </c>
      <c r="E66" s="65"/>
      <c r="F66" s="70">
        <v>-725.7</v>
      </c>
      <c r="G66" s="70">
        <v>-7.22</v>
      </c>
      <c r="H66" s="70">
        <v>62.49</v>
      </c>
      <c r="I66" s="70">
        <v>0.14000000000000001</v>
      </c>
      <c r="J66" s="70">
        <v>6.44</v>
      </c>
      <c r="K66" s="70">
        <v>-3.2</v>
      </c>
      <c r="L66" s="64">
        <f t="shared" si="0"/>
        <v>725.7</v>
      </c>
    </row>
    <row r="67" spans="1:12" x14ac:dyDescent="0.25">
      <c r="A67" s="65">
        <v>1902</v>
      </c>
      <c r="B67" s="65" t="s">
        <v>229</v>
      </c>
      <c r="C67" s="65" t="s">
        <v>429</v>
      </c>
      <c r="D67" s="65">
        <v>4</v>
      </c>
      <c r="E67" s="65"/>
      <c r="F67" s="70">
        <v>-706.77</v>
      </c>
      <c r="G67" s="70">
        <v>-7.21</v>
      </c>
      <c r="H67" s="70">
        <v>61.84</v>
      </c>
      <c r="I67" s="70">
        <v>0.14000000000000001</v>
      </c>
      <c r="J67" s="70">
        <v>-57.27</v>
      </c>
      <c r="K67" s="70">
        <v>4.12</v>
      </c>
      <c r="L67" s="64">
        <f t="shared" ref="L67:L130" si="1">F67*-1</f>
        <v>706.77</v>
      </c>
    </row>
    <row r="68" spans="1:12" x14ac:dyDescent="0.25">
      <c r="A68" s="65">
        <v>1850</v>
      </c>
      <c r="B68" s="65" t="s">
        <v>229</v>
      </c>
      <c r="C68" s="65" t="s">
        <v>396</v>
      </c>
      <c r="D68" s="65">
        <v>0</v>
      </c>
      <c r="E68" s="65"/>
      <c r="F68" s="70">
        <v>447.54</v>
      </c>
      <c r="G68" s="70">
        <v>-8.33</v>
      </c>
      <c r="H68" s="70">
        <v>61.72</v>
      </c>
      <c r="I68" s="70">
        <v>-0.73</v>
      </c>
      <c r="J68" s="70">
        <v>70.010000000000005</v>
      </c>
      <c r="K68" s="70">
        <v>-4.29</v>
      </c>
      <c r="L68" s="64">
        <f t="shared" si="1"/>
        <v>-447.54</v>
      </c>
    </row>
    <row r="69" spans="1:12" x14ac:dyDescent="0.25">
      <c r="A69" s="65">
        <v>2316</v>
      </c>
      <c r="B69" s="65" t="s">
        <v>229</v>
      </c>
      <c r="C69" s="65" t="s">
        <v>825</v>
      </c>
      <c r="D69" s="65">
        <v>4</v>
      </c>
      <c r="E69" s="65"/>
      <c r="F69" s="70">
        <v>-707.36</v>
      </c>
      <c r="G69" s="70">
        <v>-7.23</v>
      </c>
      <c r="H69" s="70">
        <v>61.67</v>
      </c>
      <c r="I69" s="70">
        <v>0.14000000000000001</v>
      </c>
      <c r="J69" s="70">
        <v>-57.34</v>
      </c>
      <c r="K69" s="70">
        <v>4.13</v>
      </c>
      <c r="L69" s="64">
        <f t="shared" si="1"/>
        <v>707.36</v>
      </c>
    </row>
    <row r="70" spans="1:12" x14ac:dyDescent="0.25">
      <c r="A70" s="65">
        <v>1789</v>
      </c>
      <c r="B70" s="65" t="s">
        <v>229</v>
      </c>
      <c r="C70" s="65" t="s">
        <v>347</v>
      </c>
      <c r="D70" s="65">
        <v>4</v>
      </c>
      <c r="E70" s="65"/>
      <c r="F70" s="70">
        <v>-643.62</v>
      </c>
      <c r="G70" s="70">
        <v>-14.28</v>
      </c>
      <c r="H70" s="70">
        <v>61.65</v>
      </c>
      <c r="I70" s="70">
        <v>-0.48</v>
      </c>
      <c r="J70" s="70">
        <v>-43.98</v>
      </c>
      <c r="K70" s="70">
        <v>6.46</v>
      </c>
      <c r="L70" s="64">
        <f t="shared" si="1"/>
        <v>643.62</v>
      </c>
    </row>
    <row r="71" spans="1:12" x14ac:dyDescent="0.25">
      <c r="A71" s="65">
        <v>1851</v>
      </c>
      <c r="B71" s="65" t="s">
        <v>229</v>
      </c>
      <c r="C71" s="65" t="s">
        <v>398</v>
      </c>
      <c r="D71" s="65">
        <v>0</v>
      </c>
      <c r="E71" s="65"/>
      <c r="F71" s="70">
        <v>345.67</v>
      </c>
      <c r="G71" s="70">
        <v>-8.98</v>
      </c>
      <c r="H71" s="70">
        <v>61.58</v>
      </c>
      <c r="I71" s="70">
        <v>-0.72</v>
      </c>
      <c r="J71" s="70">
        <v>58.18</v>
      </c>
      <c r="K71" s="70">
        <v>-4.68</v>
      </c>
      <c r="L71" s="64">
        <f t="shared" si="1"/>
        <v>-345.67</v>
      </c>
    </row>
    <row r="72" spans="1:12" x14ac:dyDescent="0.25">
      <c r="A72" s="65">
        <v>2474</v>
      </c>
      <c r="B72" s="65" t="s">
        <v>229</v>
      </c>
      <c r="C72" s="65" t="s">
        <v>996</v>
      </c>
      <c r="D72" s="65">
        <v>0</v>
      </c>
      <c r="E72" s="65"/>
      <c r="F72" s="70">
        <v>111.52</v>
      </c>
      <c r="G72" s="70">
        <v>-10.75</v>
      </c>
      <c r="H72" s="70">
        <v>61.31</v>
      </c>
      <c r="I72" s="70">
        <v>-0.67</v>
      </c>
      <c r="J72" s="70">
        <v>35.97</v>
      </c>
      <c r="K72" s="70">
        <v>-5.69</v>
      </c>
      <c r="L72" s="64">
        <f t="shared" si="1"/>
        <v>-111.52</v>
      </c>
    </row>
    <row r="73" spans="1:12" x14ac:dyDescent="0.25">
      <c r="A73" s="65">
        <v>1853</v>
      </c>
      <c r="B73" s="65" t="s">
        <v>229</v>
      </c>
      <c r="C73" s="65" t="s">
        <v>403</v>
      </c>
      <c r="D73" s="65">
        <v>4</v>
      </c>
      <c r="E73" s="65"/>
      <c r="F73" s="70">
        <v>109.45</v>
      </c>
      <c r="G73" s="70">
        <v>-10.78</v>
      </c>
      <c r="H73" s="70">
        <v>61.21</v>
      </c>
      <c r="I73" s="70">
        <v>-0.67</v>
      </c>
      <c r="J73" s="70">
        <v>-30.04</v>
      </c>
      <c r="K73" s="70">
        <v>4.96</v>
      </c>
      <c r="L73" s="64">
        <f t="shared" si="1"/>
        <v>-109.45</v>
      </c>
    </row>
    <row r="74" spans="1:12" x14ac:dyDescent="0.25">
      <c r="A74" s="65">
        <v>1902</v>
      </c>
      <c r="B74" s="65" t="s">
        <v>229</v>
      </c>
      <c r="C74" s="65" t="s">
        <v>428</v>
      </c>
      <c r="D74" s="65">
        <v>0</v>
      </c>
      <c r="E74" s="65"/>
      <c r="F74" s="70">
        <v>-715.87</v>
      </c>
      <c r="G74" s="70">
        <v>-7.21</v>
      </c>
      <c r="H74" s="70">
        <v>60.42</v>
      </c>
      <c r="I74" s="70">
        <v>0.14000000000000001</v>
      </c>
      <c r="J74" s="70">
        <v>5.4</v>
      </c>
      <c r="K74" s="70">
        <v>-3.2</v>
      </c>
      <c r="L74" s="64">
        <f t="shared" si="1"/>
        <v>715.87</v>
      </c>
    </row>
    <row r="75" spans="1:12" x14ac:dyDescent="0.25">
      <c r="A75" s="65">
        <v>2316</v>
      </c>
      <c r="B75" s="65" t="s">
        <v>229</v>
      </c>
      <c r="C75" s="65" t="s">
        <v>824</v>
      </c>
      <c r="D75" s="65">
        <v>0</v>
      </c>
      <c r="E75" s="65"/>
      <c r="F75" s="70">
        <v>-716.46</v>
      </c>
      <c r="G75" s="70">
        <v>-7.23</v>
      </c>
      <c r="H75" s="70">
        <v>60.24</v>
      </c>
      <c r="I75" s="70">
        <v>0.14000000000000001</v>
      </c>
      <c r="J75" s="70">
        <v>5.42</v>
      </c>
      <c r="K75" s="70">
        <v>-3.2</v>
      </c>
      <c r="L75" s="64">
        <f t="shared" si="1"/>
        <v>716.46</v>
      </c>
    </row>
    <row r="76" spans="1:12" x14ac:dyDescent="0.25">
      <c r="A76" s="65">
        <v>2402</v>
      </c>
      <c r="B76" s="65" t="s">
        <v>229</v>
      </c>
      <c r="C76" s="65" t="s">
        <v>924</v>
      </c>
      <c r="D76" s="65">
        <v>0</v>
      </c>
      <c r="E76" s="65"/>
      <c r="F76" s="70">
        <v>447.56</v>
      </c>
      <c r="G76" s="70">
        <v>-8.34</v>
      </c>
      <c r="H76" s="70">
        <v>60.16</v>
      </c>
      <c r="I76" s="70">
        <v>-0.73</v>
      </c>
      <c r="J76" s="70">
        <v>69.349999999999994</v>
      </c>
      <c r="K76" s="70">
        <v>-4.29</v>
      </c>
      <c r="L76" s="64">
        <f t="shared" si="1"/>
        <v>-447.56</v>
      </c>
    </row>
    <row r="77" spans="1:12" x14ac:dyDescent="0.25">
      <c r="A77" s="65">
        <v>1848</v>
      </c>
      <c r="B77" s="65" t="s">
        <v>229</v>
      </c>
      <c r="C77" s="65" t="s">
        <v>393</v>
      </c>
      <c r="D77" s="65">
        <v>4</v>
      </c>
      <c r="E77" s="65"/>
      <c r="F77" s="70">
        <v>537.39</v>
      </c>
      <c r="G77" s="70">
        <v>-7.51</v>
      </c>
      <c r="H77" s="70">
        <v>60.04</v>
      </c>
      <c r="I77" s="70">
        <v>-0.74</v>
      </c>
      <c r="J77" s="70">
        <v>77.72</v>
      </c>
      <c r="K77" s="70">
        <v>3.74</v>
      </c>
      <c r="L77" s="64">
        <f t="shared" si="1"/>
        <v>-537.39</v>
      </c>
    </row>
    <row r="78" spans="1:12" x14ac:dyDescent="0.25">
      <c r="A78" s="65">
        <v>2403</v>
      </c>
      <c r="B78" s="65" t="s">
        <v>229</v>
      </c>
      <c r="C78" s="65" t="s">
        <v>926</v>
      </c>
      <c r="D78" s="65">
        <v>0</v>
      </c>
      <c r="E78" s="65"/>
      <c r="F78" s="70">
        <v>345.7</v>
      </c>
      <c r="G78" s="70">
        <v>-8.98</v>
      </c>
      <c r="H78" s="70">
        <v>59.94</v>
      </c>
      <c r="I78" s="70">
        <v>-0.72</v>
      </c>
      <c r="J78" s="70">
        <v>57.43</v>
      </c>
      <c r="K78" s="70">
        <v>-4.68</v>
      </c>
      <c r="L78" s="64">
        <f t="shared" si="1"/>
        <v>-345.7</v>
      </c>
    </row>
    <row r="79" spans="1:12" x14ac:dyDescent="0.25">
      <c r="A79" s="65">
        <v>1971</v>
      </c>
      <c r="B79" s="65" t="s">
        <v>229</v>
      </c>
      <c r="C79" s="65" t="s">
        <v>495</v>
      </c>
      <c r="D79" s="65">
        <v>4</v>
      </c>
      <c r="E79" s="65"/>
      <c r="F79" s="70">
        <v>-697.81</v>
      </c>
      <c r="G79" s="70">
        <v>-7.21</v>
      </c>
      <c r="H79" s="70">
        <v>59.61</v>
      </c>
      <c r="I79" s="70">
        <v>0.14000000000000001</v>
      </c>
      <c r="J79" s="70">
        <v>-56.77</v>
      </c>
      <c r="K79" s="70">
        <v>4.12</v>
      </c>
      <c r="L79" s="64">
        <f t="shared" si="1"/>
        <v>697.81</v>
      </c>
    </row>
    <row r="80" spans="1:12" x14ac:dyDescent="0.25">
      <c r="A80" s="65">
        <v>1786</v>
      </c>
      <c r="B80" s="65" t="s">
        <v>229</v>
      </c>
      <c r="C80" s="65" t="s">
        <v>341</v>
      </c>
      <c r="D80" s="65">
        <v>4</v>
      </c>
      <c r="E80" s="65"/>
      <c r="F80" s="70">
        <v>-357.38</v>
      </c>
      <c r="G80" s="70">
        <v>-13.01</v>
      </c>
      <c r="H80" s="70">
        <v>59.42</v>
      </c>
      <c r="I80" s="70">
        <v>-0.6</v>
      </c>
      <c r="J80" s="70">
        <v>-38.58</v>
      </c>
      <c r="K80" s="70">
        <v>5.95</v>
      </c>
      <c r="L80" s="64">
        <f t="shared" si="1"/>
        <v>357.38</v>
      </c>
    </row>
    <row r="81" spans="1:12" x14ac:dyDescent="0.25">
      <c r="A81" s="65">
        <v>2247</v>
      </c>
      <c r="B81" s="65" t="s">
        <v>229</v>
      </c>
      <c r="C81" s="65" t="s">
        <v>759</v>
      </c>
      <c r="D81" s="65">
        <v>4</v>
      </c>
      <c r="E81" s="65"/>
      <c r="F81" s="70">
        <v>-698.18</v>
      </c>
      <c r="G81" s="70">
        <v>-7.23</v>
      </c>
      <c r="H81" s="70">
        <v>59.42</v>
      </c>
      <c r="I81" s="70">
        <v>0.14000000000000001</v>
      </c>
      <c r="J81" s="70">
        <v>-56.83</v>
      </c>
      <c r="K81" s="70">
        <v>4.13</v>
      </c>
      <c r="L81" s="64">
        <f t="shared" si="1"/>
        <v>698.18</v>
      </c>
    </row>
    <row r="82" spans="1:12" x14ac:dyDescent="0.25">
      <c r="A82" s="65">
        <v>2405</v>
      </c>
      <c r="B82" s="65" t="s">
        <v>229</v>
      </c>
      <c r="C82" s="65" t="s">
        <v>931</v>
      </c>
      <c r="D82" s="65">
        <v>4</v>
      </c>
      <c r="E82" s="65"/>
      <c r="F82" s="70">
        <v>109.41</v>
      </c>
      <c r="G82" s="70">
        <v>-10.76</v>
      </c>
      <c r="H82" s="70">
        <v>59.17</v>
      </c>
      <c r="I82" s="70">
        <v>-0.67</v>
      </c>
      <c r="J82" s="70">
        <v>-28.97</v>
      </c>
      <c r="K82" s="70">
        <v>4.95</v>
      </c>
      <c r="L82" s="64">
        <f t="shared" si="1"/>
        <v>-109.41</v>
      </c>
    </row>
    <row r="83" spans="1:12" x14ac:dyDescent="0.25">
      <c r="A83" s="65">
        <v>2479</v>
      </c>
      <c r="B83" s="65" t="s">
        <v>229</v>
      </c>
      <c r="C83" s="65" t="s">
        <v>1007</v>
      </c>
      <c r="D83" s="65">
        <v>4</v>
      </c>
      <c r="E83" s="65"/>
      <c r="F83" s="70">
        <v>-641.53</v>
      </c>
      <c r="G83" s="70">
        <v>-14.13</v>
      </c>
      <c r="H83" s="70">
        <v>59.09</v>
      </c>
      <c r="I83" s="70">
        <v>-0.48</v>
      </c>
      <c r="J83" s="70">
        <v>-42.51</v>
      </c>
      <c r="K83" s="70">
        <v>6.39</v>
      </c>
      <c r="L83" s="64">
        <f t="shared" si="1"/>
        <v>641.53</v>
      </c>
    </row>
    <row r="84" spans="1:12" x14ac:dyDescent="0.25">
      <c r="A84" s="65">
        <v>2400</v>
      </c>
      <c r="B84" s="65" t="s">
        <v>229</v>
      </c>
      <c r="C84" s="65" t="s">
        <v>921</v>
      </c>
      <c r="D84" s="65">
        <v>4</v>
      </c>
      <c r="E84" s="65"/>
      <c r="F84" s="70">
        <v>537.38</v>
      </c>
      <c r="G84" s="70">
        <v>-7.51</v>
      </c>
      <c r="H84" s="70">
        <v>58.65</v>
      </c>
      <c r="I84" s="70">
        <v>-0.74</v>
      </c>
      <c r="J84" s="70">
        <v>78.37</v>
      </c>
      <c r="K84" s="70">
        <v>3.75</v>
      </c>
      <c r="L84" s="64">
        <f t="shared" si="1"/>
        <v>-537.38</v>
      </c>
    </row>
    <row r="85" spans="1:12" x14ac:dyDescent="0.25">
      <c r="A85" s="65">
        <v>1971</v>
      </c>
      <c r="B85" s="65" t="s">
        <v>229</v>
      </c>
      <c r="C85" s="65" t="s">
        <v>494</v>
      </c>
      <c r="D85" s="65">
        <v>0</v>
      </c>
      <c r="E85" s="65"/>
      <c r="F85" s="70">
        <v>-706.91</v>
      </c>
      <c r="G85" s="70">
        <v>-7.21</v>
      </c>
      <c r="H85" s="70">
        <v>58.19</v>
      </c>
      <c r="I85" s="70">
        <v>0.14000000000000001</v>
      </c>
      <c r="J85" s="70">
        <v>-4.45</v>
      </c>
      <c r="K85" s="70">
        <v>-3.2</v>
      </c>
      <c r="L85" s="64">
        <f t="shared" si="1"/>
        <v>706.91</v>
      </c>
    </row>
    <row r="86" spans="1:12" x14ac:dyDescent="0.25">
      <c r="A86" s="65">
        <v>1919</v>
      </c>
      <c r="B86" s="65" t="s">
        <v>229</v>
      </c>
      <c r="C86" s="65" t="s">
        <v>463</v>
      </c>
      <c r="D86" s="65">
        <v>4</v>
      </c>
      <c r="E86" s="65"/>
      <c r="F86" s="70">
        <v>445.83</v>
      </c>
      <c r="G86" s="70">
        <v>-8.33</v>
      </c>
      <c r="H86" s="70">
        <v>58.09</v>
      </c>
      <c r="I86" s="70">
        <v>-0.73</v>
      </c>
      <c r="J86" s="70">
        <v>53.84</v>
      </c>
      <c r="K86" s="70">
        <v>3.95</v>
      </c>
      <c r="L86" s="64">
        <f t="shared" si="1"/>
        <v>-445.83</v>
      </c>
    </row>
    <row r="87" spans="1:12" x14ac:dyDescent="0.25">
      <c r="A87" s="65">
        <v>1920</v>
      </c>
      <c r="B87" s="65" t="s">
        <v>229</v>
      </c>
      <c r="C87" s="65" t="s">
        <v>465</v>
      </c>
      <c r="D87" s="65">
        <v>4</v>
      </c>
      <c r="E87" s="65"/>
      <c r="F87" s="70">
        <v>344.48</v>
      </c>
      <c r="G87" s="70">
        <v>-8.98</v>
      </c>
      <c r="H87" s="70">
        <v>58.07</v>
      </c>
      <c r="I87" s="70">
        <v>-0.72</v>
      </c>
      <c r="J87" s="70">
        <v>39.21</v>
      </c>
      <c r="K87" s="70">
        <v>4.2</v>
      </c>
      <c r="L87" s="64">
        <f t="shared" si="1"/>
        <v>-344.48</v>
      </c>
    </row>
    <row r="88" spans="1:12" x14ac:dyDescent="0.25">
      <c r="A88" s="65">
        <v>2247</v>
      </c>
      <c r="B88" s="65" t="s">
        <v>229</v>
      </c>
      <c r="C88" s="65" t="s">
        <v>758</v>
      </c>
      <c r="D88" s="65">
        <v>0</v>
      </c>
      <c r="E88" s="65"/>
      <c r="F88" s="70">
        <v>-707.28</v>
      </c>
      <c r="G88" s="70">
        <v>-7.23</v>
      </c>
      <c r="H88" s="70">
        <v>57.99</v>
      </c>
      <c r="I88" s="70">
        <v>0.14000000000000001</v>
      </c>
      <c r="J88" s="70">
        <v>4.42</v>
      </c>
      <c r="K88" s="70">
        <v>-3.2</v>
      </c>
      <c r="L88" s="64">
        <f t="shared" si="1"/>
        <v>707.28</v>
      </c>
    </row>
    <row r="89" spans="1:12" x14ac:dyDescent="0.25">
      <c r="A89" s="65">
        <v>1852</v>
      </c>
      <c r="B89" s="65" t="s">
        <v>229</v>
      </c>
      <c r="C89" s="65" t="s">
        <v>400</v>
      </c>
      <c r="D89" s="65">
        <v>0</v>
      </c>
      <c r="E89" s="65"/>
      <c r="F89" s="70">
        <v>226.55</v>
      </c>
      <c r="G89" s="70">
        <v>-9.9</v>
      </c>
      <c r="H89" s="70">
        <v>57.71</v>
      </c>
      <c r="I89" s="70">
        <v>-0.69</v>
      </c>
      <c r="J89" s="70">
        <v>44.77</v>
      </c>
      <c r="K89" s="70">
        <v>-5.21</v>
      </c>
      <c r="L89" s="64">
        <f t="shared" si="1"/>
        <v>-226.55</v>
      </c>
    </row>
    <row r="90" spans="1:12" x14ac:dyDescent="0.25">
      <c r="A90" s="65">
        <v>1849</v>
      </c>
      <c r="B90" s="65" t="s">
        <v>229</v>
      </c>
      <c r="C90" s="65" t="s">
        <v>394</v>
      </c>
      <c r="D90" s="65">
        <v>0</v>
      </c>
      <c r="E90" s="65"/>
      <c r="F90" s="70">
        <v>513.77</v>
      </c>
      <c r="G90" s="70">
        <v>-7.79</v>
      </c>
      <c r="H90" s="70">
        <v>57.66</v>
      </c>
      <c r="I90" s="70">
        <v>-0.74</v>
      </c>
      <c r="J90" s="70">
        <v>77.88</v>
      </c>
      <c r="K90" s="70">
        <v>-3.95</v>
      </c>
      <c r="L90" s="64">
        <f t="shared" si="1"/>
        <v>-513.77</v>
      </c>
    </row>
    <row r="91" spans="1:12" x14ac:dyDescent="0.25">
      <c r="A91" s="65">
        <v>2040</v>
      </c>
      <c r="B91" s="65" t="s">
        <v>229</v>
      </c>
      <c r="C91" s="65" t="s">
        <v>561</v>
      </c>
      <c r="D91" s="65">
        <v>4</v>
      </c>
      <c r="E91" s="65"/>
      <c r="F91" s="70">
        <v>-689.08</v>
      </c>
      <c r="G91" s="70">
        <v>-7.22</v>
      </c>
      <c r="H91" s="70">
        <v>57.38</v>
      </c>
      <c r="I91" s="70">
        <v>0.14000000000000001</v>
      </c>
      <c r="J91" s="70">
        <v>-56.31</v>
      </c>
      <c r="K91" s="70">
        <v>4.12</v>
      </c>
      <c r="L91" s="64">
        <f t="shared" si="1"/>
        <v>689.08</v>
      </c>
    </row>
    <row r="92" spans="1:12" x14ac:dyDescent="0.25">
      <c r="A92" s="65">
        <v>2178</v>
      </c>
      <c r="B92" s="65" t="s">
        <v>229</v>
      </c>
      <c r="C92" s="65" t="s">
        <v>693</v>
      </c>
      <c r="D92" s="65">
        <v>4</v>
      </c>
      <c r="E92" s="65"/>
      <c r="F92" s="70">
        <v>-689.26</v>
      </c>
      <c r="G92" s="70">
        <v>-7.22</v>
      </c>
      <c r="H92" s="70">
        <v>57.19</v>
      </c>
      <c r="I92" s="70">
        <v>0.14000000000000001</v>
      </c>
      <c r="J92" s="70">
        <v>-56.34</v>
      </c>
      <c r="K92" s="70">
        <v>4.13</v>
      </c>
      <c r="L92" s="64">
        <f t="shared" si="1"/>
        <v>689.26</v>
      </c>
    </row>
    <row r="93" spans="1:12" x14ac:dyDescent="0.25">
      <c r="A93" s="65">
        <v>2476</v>
      </c>
      <c r="B93" s="65" t="s">
        <v>229</v>
      </c>
      <c r="C93" s="65" t="s">
        <v>1001</v>
      </c>
      <c r="D93" s="65">
        <v>4</v>
      </c>
      <c r="E93" s="65"/>
      <c r="F93" s="70">
        <v>-352.9</v>
      </c>
      <c r="G93" s="70">
        <v>-12.93</v>
      </c>
      <c r="H93" s="70">
        <v>57.16</v>
      </c>
      <c r="I93" s="70">
        <v>-0.59</v>
      </c>
      <c r="J93" s="70">
        <v>-37.200000000000003</v>
      </c>
      <c r="K93" s="70">
        <v>5.92</v>
      </c>
      <c r="L93" s="64">
        <f t="shared" si="1"/>
        <v>352.9</v>
      </c>
    </row>
    <row r="94" spans="1:12" x14ac:dyDescent="0.25">
      <c r="A94" s="65">
        <v>2333</v>
      </c>
      <c r="B94" s="65" t="s">
        <v>229</v>
      </c>
      <c r="C94" s="65" t="s">
        <v>859</v>
      </c>
      <c r="D94" s="65">
        <v>4</v>
      </c>
      <c r="E94" s="65"/>
      <c r="F94" s="70">
        <v>445.85</v>
      </c>
      <c r="G94" s="70">
        <v>-8.34</v>
      </c>
      <c r="H94" s="70">
        <v>56.92</v>
      </c>
      <c r="I94" s="70">
        <v>-0.73</v>
      </c>
      <c r="J94" s="70">
        <v>54.32</v>
      </c>
      <c r="K94" s="70">
        <v>3.96</v>
      </c>
      <c r="L94" s="64">
        <f t="shared" si="1"/>
        <v>-445.85</v>
      </c>
    </row>
    <row r="95" spans="1:12" x14ac:dyDescent="0.25">
      <c r="A95" s="65">
        <v>2334</v>
      </c>
      <c r="B95" s="65" t="s">
        <v>229</v>
      </c>
      <c r="C95" s="65" t="s">
        <v>861</v>
      </c>
      <c r="D95" s="65">
        <v>4</v>
      </c>
      <c r="E95" s="65"/>
      <c r="F95" s="70">
        <v>344.51</v>
      </c>
      <c r="G95" s="70">
        <v>-8.98</v>
      </c>
      <c r="H95" s="70">
        <v>56.84</v>
      </c>
      <c r="I95" s="70">
        <v>-0.72</v>
      </c>
      <c r="J95" s="70">
        <v>39.67</v>
      </c>
      <c r="K95" s="70">
        <v>4.21</v>
      </c>
      <c r="L95" s="64">
        <f t="shared" si="1"/>
        <v>-344.51</v>
      </c>
    </row>
    <row r="96" spans="1:12" x14ac:dyDescent="0.25">
      <c r="A96" s="65">
        <v>1785</v>
      </c>
      <c r="B96" s="65" t="s">
        <v>229</v>
      </c>
      <c r="C96" s="65" t="s">
        <v>338</v>
      </c>
      <c r="D96" s="65">
        <v>0</v>
      </c>
      <c r="E96" s="65"/>
      <c r="F96" s="70">
        <v>-235.63</v>
      </c>
      <c r="G96" s="70">
        <v>-12.07</v>
      </c>
      <c r="H96" s="70">
        <v>56.71</v>
      </c>
      <c r="I96" s="70">
        <v>-0.63</v>
      </c>
      <c r="J96" s="70">
        <v>-32.71</v>
      </c>
      <c r="K96" s="70">
        <v>-6.4</v>
      </c>
      <c r="L96" s="64">
        <f t="shared" si="1"/>
        <v>235.63</v>
      </c>
    </row>
    <row r="97" spans="1:12" x14ac:dyDescent="0.25">
      <c r="A97" s="65">
        <v>2401</v>
      </c>
      <c r="B97" s="65" t="s">
        <v>229</v>
      </c>
      <c r="C97" s="65" t="s">
        <v>922</v>
      </c>
      <c r="D97" s="65">
        <v>0</v>
      </c>
      <c r="E97" s="65"/>
      <c r="F97" s="70">
        <v>513.77</v>
      </c>
      <c r="G97" s="70">
        <v>-7.79</v>
      </c>
      <c r="H97" s="70">
        <v>56.19</v>
      </c>
      <c r="I97" s="70">
        <v>-0.74</v>
      </c>
      <c r="J97" s="70">
        <v>77.22</v>
      </c>
      <c r="K97" s="70">
        <v>-3.95</v>
      </c>
      <c r="L97" s="64">
        <f t="shared" si="1"/>
        <v>-513.77</v>
      </c>
    </row>
    <row r="98" spans="1:12" x14ac:dyDescent="0.25">
      <c r="A98" s="65">
        <v>2109</v>
      </c>
      <c r="B98" s="65" t="s">
        <v>229</v>
      </c>
      <c r="C98" s="65" t="s">
        <v>627</v>
      </c>
      <c r="D98" s="65">
        <v>4</v>
      </c>
      <c r="E98" s="65"/>
      <c r="F98" s="70">
        <v>-680.45</v>
      </c>
      <c r="G98" s="70">
        <v>-7.22</v>
      </c>
      <c r="H98" s="70">
        <v>56.17</v>
      </c>
      <c r="I98" s="70">
        <v>0.14000000000000001</v>
      </c>
      <c r="J98" s="70">
        <v>-55.87</v>
      </c>
      <c r="K98" s="70">
        <v>4.13</v>
      </c>
      <c r="L98" s="64">
        <f t="shared" si="1"/>
        <v>680.45</v>
      </c>
    </row>
    <row r="99" spans="1:12" x14ac:dyDescent="0.25">
      <c r="A99" s="65">
        <v>2404</v>
      </c>
      <c r="B99" s="65" t="s">
        <v>229</v>
      </c>
      <c r="C99" s="65" t="s">
        <v>928</v>
      </c>
      <c r="D99" s="65">
        <v>0</v>
      </c>
      <c r="E99" s="65"/>
      <c r="F99" s="70">
        <v>227.37</v>
      </c>
      <c r="G99" s="70">
        <v>-9.89</v>
      </c>
      <c r="H99" s="70">
        <v>56.01</v>
      </c>
      <c r="I99" s="70">
        <v>-0.69</v>
      </c>
      <c r="J99" s="70">
        <v>44.05</v>
      </c>
      <c r="K99" s="70">
        <v>-5.2</v>
      </c>
      <c r="L99" s="64">
        <f t="shared" si="1"/>
        <v>-227.37</v>
      </c>
    </row>
    <row r="100" spans="1:12" x14ac:dyDescent="0.25">
      <c r="A100" s="65">
        <v>2040</v>
      </c>
      <c r="B100" s="65" t="s">
        <v>229</v>
      </c>
      <c r="C100" s="65" t="s">
        <v>560</v>
      </c>
      <c r="D100" s="65">
        <v>0</v>
      </c>
      <c r="E100" s="65"/>
      <c r="F100" s="70">
        <v>-698.18</v>
      </c>
      <c r="G100" s="70">
        <v>-7.22</v>
      </c>
      <c r="H100" s="70">
        <v>55.95</v>
      </c>
      <c r="I100" s="70">
        <v>0.14000000000000001</v>
      </c>
      <c r="J100" s="70">
        <v>-3.97</v>
      </c>
      <c r="K100" s="70">
        <v>-3.2</v>
      </c>
      <c r="L100" s="64">
        <f t="shared" si="1"/>
        <v>698.18</v>
      </c>
    </row>
    <row r="101" spans="1:12" x14ac:dyDescent="0.25">
      <c r="A101" s="65">
        <v>2178</v>
      </c>
      <c r="B101" s="65" t="s">
        <v>229</v>
      </c>
      <c r="C101" s="65" t="s">
        <v>692</v>
      </c>
      <c r="D101" s="65">
        <v>0</v>
      </c>
      <c r="E101" s="65"/>
      <c r="F101" s="70">
        <v>-698.36</v>
      </c>
      <c r="G101" s="70">
        <v>-7.22</v>
      </c>
      <c r="H101" s="70">
        <v>55.77</v>
      </c>
      <c r="I101" s="70">
        <v>0.14000000000000001</v>
      </c>
      <c r="J101" s="70">
        <v>-3.96</v>
      </c>
      <c r="K101" s="70">
        <v>-3.2</v>
      </c>
      <c r="L101" s="64">
        <f t="shared" si="1"/>
        <v>698.36</v>
      </c>
    </row>
    <row r="102" spans="1:12" x14ac:dyDescent="0.25">
      <c r="A102" s="65">
        <v>1921</v>
      </c>
      <c r="B102" s="65" t="s">
        <v>229</v>
      </c>
      <c r="C102" s="65" t="s">
        <v>467</v>
      </c>
      <c r="D102" s="65">
        <v>4</v>
      </c>
      <c r="E102" s="65"/>
      <c r="F102" s="70">
        <v>224.41</v>
      </c>
      <c r="G102" s="70">
        <v>-9.9</v>
      </c>
      <c r="H102" s="70">
        <v>54.84</v>
      </c>
      <c r="I102" s="70">
        <v>-0.69</v>
      </c>
      <c r="J102" s="70">
        <v>25.2</v>
      </c>
      <c r="K102" s="70">
        <v>4.59</v>
      </c>
      <c r="L102" s="64">
        <f t="shared" si="1"/>
        <v>-224.41</v>
      </c>
    </row>
    <row r="103" spans="1:12" x14ac:dyDescent="0.25">
      <c r="A103" s="65">
        <v>2109</v>
      </c>
      <c r="B103" s="65" t="s">
        <v>229</v>
      </c>
      <c r="C103" s="65" t="s">
        <v>626</v>
      </c>
      <c r="D103" s="65">
        <v>0</v>
      </c>
      <c r="E103" s="65"/>
      <c r="F103" s="70">
        <v>-689.55</v>
      </c>
      <c r="G103" s="70">
        <v>-7.22</v>
      </c>
      <c r="H103" s="70">
        <v>54.75</v>
      </c>
      <c r="I103" s="70">
        <v>0.14000000000000001</v>
      </c>
      <c r="J103" s="70">
        <v>-3.73</v>
      </c>
      <c r="K103" s="70">
        <v>-3.2</v>
      </c>
      <c r="L103" s="64">
        <f t="shared" si="1"/>
        <v>689.55</v>
      </c>
    </row>
    <row r="104" spans="1:12" x14ac:dyDescent="0.25">
      <c r="A104" s="65">
        <v>1854</v>
      </c>
      <c r="B104" s="65" t="s">
        <v>229</v>
      </c>
      <c r="C104" s="65" t="s">
        <v>405</v>
      </c>
      <c r="D104" s="65">
        <v>4</v>
      </c>
      <c r="E104" s="65"/>
      <c r="F104" s="70">
        <v>-232.98</v>
      </c>
      <c r="G104" s="70">
        <v>-12.07</v>
      </c>
      <c r="H104" s="70">
        <v>54.59</v>
      </c>
      <c r="I104" s="70">
        <v>-0.63</v>
      </c>
      <c r="J104" s="70">
        <v>-33.35</v>
      </c>
      <c r="K104" s="70">
        <v>5.54</v>
      </c>
      <c r="L104" s="64">
        <f t="shared" si="1"/>
        <v>232.98</v>
      </c>
    </row>
    <row r="105" spans="1:12" x14ac:dyDescent="0.25">
      <c r="A105" s="65">
        <v>2475</v>
      </c>
      <c r="B105" s="65" t="s">
        <v>229</v>
      </c>
      <c r="C105" s="65" t="s">
        <v>998</v>
      </c>
      <c r="D105" s="65">
        <v>0</v>
      </c>
      <c r="E105" s="65"/>
      <c r="F105" s="70">
        <v>-232.02</v>
      </c>
      <c r="G105" s="70">
        <v>-12.01</v>
      </c>
      <c r="H105" s="70">
        <v>54.51</v>
      </c>
      <c r="I105" s="70">
        <v>-0.62</v>
      </c>
      <c r="J105" s="70">
        <v>-33.96</v>
      </c>
      <c r="K105" s="70">
        <v>-6.37</v>
      </c>
      <c r="L105" s="64">
        <f t="shared" si="1"/>
        <v>232.02</v>
      </c>
    </row>
    <row r="106" spans="1:12" x14ac:dyDescent="0.25">
      <c r="A106" s="65">
        <v>1772</v>
      </c>
      <c r="B106" s="65" t="s">
        <v>229</v>
      </c>
      <c r="C106" s="65" t="s">
        <v>313</v>
      </c>
      <c r="D106" s="65">
        <v>4</v>
      </c>
      <c r="E106" s="65"/>
      <c r="F106" s="70">
        <v>-350.85</v>
      </c>
      <c r="G106" s="70">
        <v>-12.94</v>
      </c>
      <c r="H106" s="70">
        <v>54.44</v>
      </c>
      <c r="I106" s="70">
        <v>-0.59</v>
      </c>
      <c r="J106" s="70">
        <v>-36.92</v>
      </c>
      <c r="K106" s="70">
        <v>6.88</v>
      </c>
      <c r="L106" s="64">
        <f t="shared" si="1"/>
        <v>350.85</v>
      </c>
    </row>
    <row r="107" spans="1:12" x14ac:dyDescent="0.25">
      <c r="A107" s="65">
        <v>1771</v>
      </c>
      <c r="B107" s="65" t="s">
        <v>229</v>
      </c>
      <c r="C107" s="65" t="s">
        <v>311</v>
      </c>
      <c r="D107" s="65">
        <v>4</v>
      </c>
      <c r="E107" s="65"/>
      <c r="F107" s="70">
        <v>-455.51</v>
      </c>
      <c r="G107" s="70">
        <v>-13.61</v>
      </c>
      <c r="H107" s="70">
        <v>54.42</v>
      </c>
      <c r="I107" s="70">
        <v>-0.55000000000000004</v>
      </c>
      <c r="J107" s="70">
        <v>-36.47</v>
      </c>
      <c r="K107" s="70">
        <v>7.25</v>
      </c>
      <c r="L107" s="64">
        <f t="shared" si="1"/>
        <v>455.51</v>
      </c>
    </row>
    <row r="108" spans="1:12" x14ac:dyDescent="0.25">
      <c r="A108" s="65">
        <v>1918</v>
      </c>
      <c r="B108" s="65" t="s">
        <v>229</v>
      </c>
      <c r="C108" s="65" t="s">
        <v>461</v>
      </c>
      <c r="D108" s="65">
        <v>4</v>
      </c>
      <c r="E108" s="65"/>
      <c r="F108" s="70">
        <v>512.03</v>
      </c>
      <c r="G108" s="70">
        <v>-7.79</v>
      </c>
      <c r="H108" s="70">
        <v>54.04</v>
      </c>
      <c r="I108" s="70">
        <v>-0.74</v>
      </c>
      <c r="J108" s="70">
        <v>65.930000000000007</v>
      </c>
      <c r="K108" s="70">
        <v>3.75</v>
      </c>
      <c r="L108" s="64">
        <f t="shared" si="1"/>
        <v>-512.03</v>
      </c>
    </row>
    <row r="109" spans="1:12" x14ac:dyDescent="0.25">
      <c r="A109" s="65">
        <v>2335</v>
      </c>
      <c r="B109" s="65" t="s">
        <v>229</v>
      </c>
      <c r="C109" s="65" t="s">
        <v>863</v>
      </c>
      <c r="D109" s="65">
        <v>4</v>
      </c>
      <c r="E109" s="65"/>
      <c r="F109" s="70">
        <v>225.27</v>
      </c>
      <c r="G109" s="70">
        <v>-9.89</v>
      </c>
      <c r="H109" s="70">
        <v>53.6</v>
      </c>
      <c r="I109" s="70">
        <v>-0.69</v>
      </c>
      <c r="J109" s="70">
        <v>25.69</v>
      </c>
      <c r="K109" s="70">
        <v>4.58</v>
      </c>
      <c r="L109" s="64">
        <f t="shared" si="1"/>
        <v>-225.27</v>
      </c>
    </row>
    <row r="110" spans="1:12" x14ac:dyDescent="0.25">
      <c r="A110" s="65">
        <v>1789</v>
      </c>
      <c r="B110" s="65" t="s">
        <v>229</v>
      </c>
      <c r="C110" s="65" t="s">
        <v>346</v>
      </c>
      <c r="D110" s="65">
        <v>0</v>
      </c>
      <c r="E110" s="65"/>
      <c r="F110" s="70">
        <v>-639.72</v>
      </c>
      <c r="G110" s="70">
        <v>-14.28</v>
      </c>
      <c r="H110" s="70">
        <v>53.3</v>
      </c>
      <c r="I110" s="70">
        <v>-0.48</v>
      </c>
      <c r="J110" s="70">
        <v>-28.84</v>
      </c>
      <c r="K110" s="70">
        <v>-7.66</v>
      </c>
      <c r="L110" s="64">
        <f t="shared" si="1"/>
        <v>639.72</v>
      </c>
    </row>
    <row r="111" spans="1:12" x14ac:dyDescent="0.25">
      <c r="A111" s="65">
        <v>1858</v>
      </c>
      <c r="B111" s="65" t="s">
        <v>229</v>
      </c>
      <c r="C111" s="65" t="s">
        <v>413</v>
      </c>
      <c r="D111" s="65">
        <v>4</v>
      </c>
      <c r="E111" s="65"/>
      <c r="F111" s="70">
        <v>-637.03</v>
      </c>
      <c r="G111" s="70">
        <v>-14.28</v>
      </c>
      <c r="H111" s="70">
        <v>53.08</v>
      </c>
      <c r="I111" s="70">
        <v>-0.48</v>
      </c>
      <c r="J111" s="70">
        <v>-40.200000000000003</v>
      </c>
      <c r="K111" s="70">
        <v>6.46</v>
      </c>
      <c r="L111" s="64">
        <f t="shared" si="1"/>
        <v>637.03</v>
      </c>
    </row>
    <row r="112" spans="1:12" x14ac:dyDescent="0.25">
      <c r="A112" s="65">
        <v>2332</v>
      </c>
      <c r="B112" s="65" t="s">
        <v>229</v>
      </c>
      <c r="C112" s="65" t="s">
        <v>857</v>
      </c>
      <c r="D112" s="65">
        <v>4</v>
      </c>
      <c r="E112" s="65"/>
      <c r="F112" s="70">
        <v>512.03</v>
      </c>
      <c r="G112" s="70">
        <v>-7.79</v>
      </c>
      <c r="H112" s="70">
        <v>52.93</v>
      </c>
      <c r="I112" s="70">
        <v>-0.74</v>
      </c>
      <c r="J112" s="70">
        <v>66.44</v>
      </c>
      <c r="K112" s="70">
        <v>3.76</v>
      </c>
      <c r="L112" s="64">
        <f t="shared" si="1"/>
        <v>-512.03</v>
      </c>
    </row>
    <row r="113" spans="1:12" x14ac:dyDescent="0.25">
      <c r="A113" s="65">
        <v>2406</v>
      </c>
      <c r="B113" s="65" t="s">
        <v>229</v>
      </c>
      <c r="C113" s="65" t="s">
        <v>933</v>
      </c>
      <c r="D113" s="65">
        <v>4</v>
      </c>
      <c r="E113" s="65"/>
      <c r="F113" s="70">
        <v>-229.95</v>
      </c>
      <c r="G113" s="70">
        <v>-12.02</v>
      </c>
      <c r="H113" s="70">
        <v>52.84</v>
      </c>
      <c r="I113" s="70">
        <v>-0.62</v>
      </c>
      <c r="J113" s="70">
        <v>-32.22</v>
      </c>
      <c r="K113" s="70">
        <v>5.52</v>
      </c>
      <c r="L113" s="64">
        <f t="shared" si="1"/>
        <v>229.95</v>
      </c>
    </row>
    <row r="114" spans="1:12" x14ac:dyDescent="0.25">
      <c r="A114" s="65">
        <v>1853</v>
      </c>
      <c r="B114" s="65" t="s">
        <v>229</v>
      </c>
      <c r="C114" s="65" t="s">
        <v>402</v>
      </c>
      <c r="D114" s="65">
        <v>0</v>
      </c>
      <c r="E114" s="65"/>
      <c r="F114" s="70">
        <v>111.34</v>
      </c>
      <c r="G114" s="70">
        <v>-10.78</v>
      </c>
      <c r="H114" s="70">
        <v>52.18</v>
      </c>
      <c r="I114" s="70">
        <v>-0.67</v>
      </c>
      <c r="J114" s="70">
        <v>31.54</v>
      </c>
      <c r="K114" s="70">
        <v>-5.7</v>
      </c>
      <c r="L114" s="64">
        <f t="shared" si="1"/>
        <v>-111.34</v>
      </c>
    </row>
    <row r="115" spans="1:12" x14ac:dyDescent="0.25">
      <c r="A115" s="65">
        <v>2461</v>
      </c>
      <c r="B115" s="65" t="s">
        <v>229</v>
      </c>
      <c r="C115" s="65" t="s">
        <v>971</v>
      </c>
      <c r="D115" s="65">
        <v>4</v>
      </c>
      <c r="E115" s="65"/>
      <c r="F115" s="70">
        <v>-459.4</v>
      </c>
      <c r="G115" s="70">
        <v>-13.71</v>
      </c>
      <c r="H115" s="70">
        <v>52.12</v>
      </c>
      <c r="I115" s="70">
        <v>-0.55000000000000004</v>
      </c>
      <c r="J115" s="70">
        <v>-35.22</v>
      </c>
      <c r="K115" s="70">
        <v>7.3</v>
      </c>
      <c r="L115" s="64">
        <f t="shared" si="1"/>
        <v>459.4</v>
      </c>
    </row>
    <row r="116" spans="1:12" x14ac:dyDescent="0.25">
      <c r="A116" s="65">
        <v>2462</v>
      </c>
      <c r="B116" s="65" t="s">
        <v>229</v>
      </c>
      <c r="C116" s="65" t="s">
        <v>973</v>
      </c>
      <c r="D116" s="65">
        <v>4</v>
      </c>
      <c r="E116" s="65"/>
      <c r="F116" s="70">
        <v>-355.27</v>
      </c>
      <c r="G116" s="70">
        <v>-13.02</v>
      </c>
      <c r="H116" s="70">
        <v>52.04</v>
      </c>
      <c r="I116" s="70">
        <v>-0.59</v>
      </c>
      <c r="J116" s="70">
        <v>-35.659999999999997</v>
      </c>
      <c r="K116" s="70">
        <v>6.92</v>
      </c>
      <c r="L116" s="64">
        <f t="shared" si="1"/>
        <v>355.27</v>
      </c>
    </row>
    <row r="117" spans="1:12" x14ac:dyDescent="0.25">
      <c r="A117" s="65">
        <v>1787</v>
      </c>
      <c r="B117" s="65" t="s">
        <v>229</v>
      </c>
      <c r="C117" s="65" t="s">
        <v>343</v>
      </c>
      <c r="D117" s="65">
        <v>4</v>
      </c>
      <c r="E117" s="65"/>
      <c r="F117" s="70">
        <v>-462.02</v>
      </c>
      <c r="G117" s="70">
        <v>-13.73</v>
      </c>
      <c r="H117" s="70">
        <v>51.61</v>
      </c>
      <c r="I117" s="70">
        <v>-0.55000000000000004</v>
      </c>
      <c r="J117" s="70">
        <v>-34.26</v>
      </c>
      <c r="K117" s="70">
        <v>6.27</v>
      </c>
      <c r="L117" s="64">
        <f t="shared" si="1"/>
        <v>462.02</v>
      </c>
    </row>
    <row r="118" spans="1:12" x14ac:dyDescent="0.25">
      <c r="A118" s="65">
        <v>2410</v>
      </c>
      <c r="B118" s="65" t="s">
        <v>229</v>
      </c>
      <c r="C118" s="65" t="s">
        <v>941</v>
      </c>
      <c r="D118" s="65">
        <v>4</v>
      </c>
      <c r="E118" s="65"/>
      <c r="F118" s="70">
        <v>-635.33000000000004</v>
      </c>
      <c r="G118" s="70">
        <v>-14.14</v>
      </c>
      <c r="H118" s="70">
        <v>50.95</v>
      </c>
      <c r="I118" s="70">
        <v>-0.48</v>
      </c>
      <c r="J118" s="70">
        <v>-38.94</v>
      </c>
      <c r="K118" s="70">
        <v>6.39</v>
      </c>
      <c r="L118" s="64">
        <f t="shared" si="1"/>
        <v>635.33000000000004</v>
      </c>
    </row>
    <row r="119" spans="1:12" x14ac:dyDescent="0.25">
      <c r="A119" s="65">
        <v>2479</v>
      </c>
      <c r="B119" s="65" t="s">
        <v>229</v>
      </c>
      <c r="C119" s="65" t="s">
        <v>1006</v>
      </c>
      <c r="D119" s="65">
        <v>0</v>
      </c>
      <c r="E119" s="65"/>
      <c r="F119" s="70">
        <v>-637.63</v>
      </c>
      <c r="G119" s="70">
        <v>-14.13</v>
      </c>
      <c r="H119" s="70">
        <v>50.73</v>
      </c>
      <c r="I119" s="70">
        <v>-0.48</v>
      </c>
      <c r="J119" s="70">
        <v>-30.08</v>
      </c>
      <c r="K119" s="70">
        <v>-7.58</v>
      </c>
      <c r="L119" s="64">
        <f t="shared" si="1"/>
        <v>637.63</v>
      </c>
    </row>
    <row r="120" spans="1:12" x14ac:dyDescent="0.25">
      <c r="A120" s="65">
        <v>1770</v>
      </c>
      <c r="B120" s="65" t="s">
        <v>229</v>
      </c>
      <c r="C120" s="65" t="s">
        <v>309</v>
      </c>
      <c r="D120" s="65">
        <v>4</v>
      </c>
      <c r="E120" s="65"/>
      <c r="F120" s="70">
        <v>-550.70000000000005</v>
      </c>
      <c r="G120" s="70">
        <v>-14.09</v>
      </c>
      <c r="H120" s="70">
        <v>50.28</v>
      </c>
      <c r="I120" s="70">
        <v>-0.51</v>
      </c>
      <c r="J120" s="70">
        <v>-32.42</v>
      </c>
      <c r="K120" s="70">
        <v>7.52</v>
      </c>
      <c r="L120" s="64">
        <f t="shared" si="1"/>
        <v>550.70000000000005</v>
      </c>
    </row>
    <row r="121" spans="1:12" x14ac:dyDescent="0.25">
      <c r="A121" s="65">
        <v>2405</v>
      </c>
      <c r="B121" s="65" t="s">
        <v>229</v>
      </c>
      <c r="C121" s="65" t="s">
        <v>930</v>
      </c>
      <c r="D121" s="65">
        <v>0</v>
      </c>
      <c r="E121" s="65"/>
      <c r="F121" s="70">
        <v>111.3</v>
      </c>
      <c r="G121" s="70">
        <v>-10.76</v>
      </c>
      <c r="H121" s="70">
        <v>50.14</v>
      </c>
      <c r="I121" s="70">
        <v>-0.67</v>
      </c>
      <c r="J121" s="70">
        <v>30.82</v>
      </c>
      <c r="K121" s="70">
        <v>-5.69</v>
      </c>
      <c r="L121" s="64">
        <f t="shared" si="1"/>
        <v>-111.3</v>
      </c>
    </row>
    <row r="122" spans="1:12" x14ac:dyDescent="0.25">
      <c r="A122" s="65">
        <v>1922</v>
      </c>
      <c r="B122" s="65" t="s">
        <v>229</v>
      </c>
      <c r="C122" s="65" t="s">
        <v>469</v>
      </c>
      <c r="D122" s="65">
        <v>4</v>
      </c>
      <c r="E122" s="65"/>
      <c r="F122" s="70">
        <v>109.25</v>
      </c>
      <c r="G122" s="70">
        <v>-10.78</v>
      </c>
      <c r="H122" s="70">
        <v>50.12</v>
      </c>
      <c r="I122" s="70">
        <v>-0.67</v>
      </c>
      <c r="J122" s="70">
        <v>-24.66</v>
      </c>
      <c r="K122" s="70">
        <v>4.96</v>
      </c>
      <c r="L122" s="64">
        <f t="shared" si="1"/>
        <v>-109.25</v>
      </c>
    </row>
    <row r="123" spans="1:12" x14ac:dyDescent="0.25">
      <c r="A123" s="65">
        <v>2477</v>
      </c>
      <c r="B123" s="65" t="s">
        <v>229</v>
      </c>
      <c r="C123" s="65" t="s">
        <v>1003</v>
      </c>
      <c r="D123" s="65">
        <v>4</v>
      </c>
      <c r="E123" s="65"/>
      <c r="F123" s="70">
        <v>-457.98</v>
      </c>
      <c r="G123" s="70">
        <v>-13.62</v>
      </c>
      <c r="H123" s="70">
        <v>49.33</v>
      </c>
      <c r="I123" s="70">
        <v>-0.55000000000000004</v>
      </c>
      <c r="J123" s="70">
        <v>-32.9</v>
      </c>
      <c r="K123" s="70">
        <v>6.22</v>
      </c>
      <c r="L123" s="64">
        <f t="shared" si="1"/>
        <v>457.98</v>
      </c>
    </row>
    <row r="124" spans="1:12" x14ac:dyDescent="0.25">
      <c r="A124" s="65">
        <v>1788</v>
      </c>
      <c r="B124" s="65" t="s">
        <v>229</v>
      </c>
      <c r="C124" s="65" t="s">
        <v>345</v>
      </c>
      <c r="D124" s="65">
        <v>4</v>
      </c>
      <c r="E124" s="65"/>
      <c r="F124" s="70">
        <v>-556.45000000000005</v>
      </c>
      <c r="G124" s="70">
        <v>-14.21</v>
      </c>
      <c r="H124" s="70">
        <v>49.02</v>
      </c>
      <c r="I124" s="70">
        <v>-0.51</v>
      </c>
      <c r="J124" s="70">
        <v>-31.47</v>
      </c>
      <c r="K124" s="70">
        <v>6.47</v>
      </c>
      <c r="L124" s="64">
        <f t="shared" si="1"/>
        <v>556.45000000000005</v>
      </c>
    </row>
    <row r="125" spans="1:12" x14ac:dyDescent="0.25">
      <c r="A125" s="65">
        <v>1920</v>
      </c>
      <c r="B125" s="65" t="s">
        <v>229</v>
      </c>
      <c r="C125" s="65" t="s">
        <v>464</v>
      </c>
      <c r="D125" s="65">
        <v>0</v>
      </c>
      <c r="E125" s="65"/>
      <c r="F125" s="70">
        <v>345.62</v>
      </c>
      <c r="G125" s="70">
        <v>-8.98</v>
      </c>
      <c r="H125" s="70">
        <v>48.92</v>
      </c>
      <c r="I125" s="70">
        <v>-0.72</v>
      </c>
      <c r="J125" s="70">
        <v>52.85</v>
      </c>
      <c r="K125" s="70">
        <v>-4.68</v>
      </c>
      <c r="L125" s="64">
        <f t="shared" si="1"/>
        <v>-345.62</v>
      </c>
    </row>
    <row r="126" spans="1:12" x14ac:dyDescent="0.25">
      <c r="A126" s="65">
        <v>1855</v>
      </c>
      <c r="B126" s="65" t="s">
        <v>229</v>
      </c>
      <c r="C126" s="65" t="s">
        <v>407</v>
      </c>
      <c r="D126" s="65">
        <v>4</v>
      </c>
      <c r="E126" s="65"/>
      <c r="F126" s="70">
        <v>-351.91</v>
      </c>
      <c r="G126" s="70">
        <v>-13.01</v>
      </c>
      <c r="H126" s="70">
        <v>48.9</v>
      </c>
      <c r="I126" s="70">
        <v>-0.6</v>
      </c>
      <c r="J126" s="70">
        <v>-33.47</v>
      </c>
      <c r="K126" s="70">
        <v>5.95</v>
      </c>
      <c r="L126" s="64">
        <f t="shared" si="1"/>
        <v>351.91</v>
      </c>
    </row>
    <row r="127" spans="1:12" x14ac:dyDescent="0.25">
      <c r="A127" s="65">
        <v>1919</v>
      </c>
      <c r="B127" s="65" t="s">
        <v>229</v>
      </c>
      <c r="C127" s="65" t="s">
        <v>462</v>
      </c>
      <c r="D127" s="65">
        <v>0</v>
      </c>
      <c r="E127" s="65"/>
      <c r="F127" s="70">
        <v>446.59</v>
      </c>
      <c r="G127" s="70">
        <v>-8.33</v>
      </c>
      <c r="H127" s="70">
        <v>48.9</v>
      </c>
      <c r="I127" s="70">
        <v>-0.73</v>
      </c>
      <c r="J127" s="70">
        <v>63.66</v>
      </c>
      <c r="K127" s="70">
        <v>-4.29</v>
      </c>
      <c r="L127" s="64">
        <f t="shared" si="1"/>
        <v>-446.59</v>
      </c>
    </row>
    <row r="128" spans="1:12" x14ac:dyDescent="0.25">
      <c r="A128" s="65">
        <v>2336</v>
      </c>
      <c r="B128" s="65" t="s">
        <v>229</v>
      </c>
      <c r="C128" s="65" t="s">
        <v>865</v>
      </c>
      <c r="D128" s="65">
        <v>4</v>
      </c>
      <c r="E128" s="65"/>
      <c r="F128" s="70">
        <v>109.19</v>
      </c>
      <c r="G128" s="70">
        <v>-10.76</v>
      </c>
      <c r="H128" s="70">
        <v>48.59</v>
      </c>
      <c r="I128" s="70">
        <v>-0.67</v>
      </c>
      <c r="J128" s="70">
        <v>-23.87</v>
      </c>
      <c r="K128" s="70">
        <v>4.95</v>
      </c>
      <c r="L128" s="64">
        <f t="shared" si="1"/>
        <v>-109.19</v>
      </c>
    </row>
    <row r="129" spans="1:12" x14ac:dyDescent="0.25">
      <c r="A129" s="65">
        <v>2460</v>
      </c>
      <c r="B129" s="65" t="s">
        <v>229</v>
      </c>
      <c r="C129" s="65" t="s">
        <v>969</v>
      </c>
      <c r="D129" s="65">
        <v>4</v>
      </c>
      <c r="E129" s="65"/>
      <c r="F129" s="70">
        <v>-553.69000000000005</v>
      </c>
      <c r="G129" s="70">
        <v>-14.22</v>
      </c>
      <c r="H129" s="70">
        <v>47.94</v>
      </c>
      <c r="I129" s="70">
        <v>-0.51</v>
      </c>
      <c r="J129" s="70">
        <v>-31.18</v>
      </c>
      <c r="K129" s="70">
        <v>7.59</v>
      </c>
      <c r="L129" s="64">
        <f t="shared" si="1"/>
        <v>553.69000000000005</v>
      </c>
    </row>
    <row r="130" spans="1:12" x14ac:dyDescent="0.25">
      <c r="A130" s="65">
        <v>2333</v>
      </c>
      <c r="B130" s="65" t="s">
        <v>229</v>
      </c>
      <c r="C130" s="65" t="s">
        <v>858</v>
      </c>
      <c r="D130" s="65">
        <v>0</v>
      </c>
      <c r="E130" s="65"/>
      <c r="F130" s="70">
        <v>446.6</v>
      </c>
      <c r="G130" s="70">
        <v>-8.34</v>
      </c>
      <c r="H130" s="70">
        <v>47.72</v>
      </c>
      <c r="I130" s="70">
        <v>-0.73</v>
      </c>
      <c r="J130" s="70">
        <v>63.2</v>
      </c>
      <c r="K130" s="70">
        <v>-4.3</v>
      </c>
      <c r="L130" s="64">
        <f t="shared" si="1"/>
        <v>-446.6</v>
      </c>
    </row>
    <row r="131" spans="1:12" x14ac:dyDescent="0.25">
      <c r="A131" s="65">
        <v>2334</v>
      </c>
      <c r="B131" s="65" t="s">
        <v>229</v>
      </c>
      <c r="C131" s="65" t="s">
        <v>860</v>
      </c>
      <c r="D131" s="65">
        <v>0</v>
      </c>
      <c r="E131" s="65"/>
      <c r="F131" s="70">
        <v>345.65</v>
      </c>
      <c r="G131" s="70">
        <v>-8.98</v>
      </c>
      <c r="H131" s="70">
        <v>47.69</v>
      </c>
      <c r="I131" s="70">
        <v>-0.72</v>
      </c>
      <c r="J131" s="70">
        <v>52.41</v>
      </c>
      <c r="K131" s="70">
        <v>-4.68</v>
      </c>
      <c r="L131" s="64">
        <f t="shared" ref="L131:L194" si="2">F131*-1</f>
        <v>-345.65</v>
      </c>
    </row>
    <row r="132" spans="1:12" x14ac:dyDescent="0.25">
      <c r="A132" s="65">
        <v>1917</v>
      </c>
      <c r="B132" s="65" t="s">
        <v>229</v>
      </c>
      <c r="C132" s="65" t="s">
        <v>459</v>
      </c>
      <c r="D132" s="65">
        <v>4</v>
      </c>
      <c r="E132" s="65"/>
      <c r="F132" s="70">
        <v>536.66</v>
      </c>
      <c r="G132" s="70">
        <v>-7.52</v>
      </c>
      <c r="H132" s="70">
        <v>47.31</v>
      </c>
      <c r="I132" s="70">
        <v>-0.74</v>
      </c>
      <c r="J132" s="70">
        <v>72.34</v>
      </c>
      <c r="K132" s="70">
        <v>3.74</v>
      </c>
      <c r="L132" s="64">
        <f t="shared" si="2"/>
        <v>-536.66</v>
      </c>
    </row>
    <row r="133" spans="1:12" x14ac:dyDescent="0.25">
      <c r="A133" s="65">
        <v>2407</v>
      </c>
      <c r="B133" s="65" t="s">
        <v>229</v>
      </c>
      <c r="C133" s="65" t="s">
        <v>935</v>
      </c>
      <c r="D133" s="65">
        <v>4</v>
      </c>
      <c r="E133" s="65"/>
      <c r="F133" s="70">
        <v>-348.06</v>
      </c>
      <c r="G133" s="70">
        <v>-12.94</v>
      </c>
      <c r="H133" s="70">
        <v>47.11</v>
      </c>
      <c r="I133" s="70">
        <v>-0.59</v>
      </c>
      <c r="J133" s="70">
        <v>-32.31</v>
      </c>
      <c r="K133" s="70">
        <v>5.92</v>
      </c>
      <c r="L133" s="64">
        <f t="shared" si="2"/>
        <v>348.06</v>
      </c>
    </row>
    <row r="134" spans="1:12" x14ac:dyDescent="0.25">
      <c r="A134" s="65">
        <v>37</v>
      </c>
      <c r="B134" s="65" t="s">
        <v>229</v>
      </c>
      <c r="C134" s="65" t="s">
        <v>265</v>
      </c>
      <c r="D134" s="65">
        <v>4</v>
      </c>
      <c r="E134" s="65"/>
      <c r="F134" s="70">
        <v>225.23</v>
      </c>
      <c r="G134" s="70">
        <v>-1.1100000000000001</v>
      </c>
      <c r="H134" s="70">
        <v>46.69</v>
      </c>
      <c r="I134" s="70">
        <v>-0.22</v>
      </c>
      <c r="J134" s="70">
        <v>34.24</v>
      </c>
      <c r="K134" s="70">
        <v>0.53</v>
      </c>
      <c r="L134" s="64">
        <f t="shared" si="2"/>
        <v>-225.23</v>
      </c>
    </row>
    <row r="135" spans="1:12" x14ac:dyDescent="0.25">
      <c r="A135" s="65">
        <v>2478</v>
      </c>
      <c r="B135" s="65" t="s">
        <v>229</v>
      </c>
      <c r="C135" s="65" t="s">
        <v>1005</v>
      </c>
      <c r="D135" s="65">
        <v>4</v>
      </c>
      <c r="E135" s="65"/>
      <c r="F135" s="70">
        <v>-553.46</v>
      </c>
      <c r="G135" s="70">
        <v>-14.07</v>
      </c>
      <c r="H135" s="70">
        <v>46.62</v>
      </c>
      <c r="I135" s="70">
        <v>-0.51</v>
      </c>
      <c r="J135" s="70">
        <v>-30.18</v>
      </c>
      <c r="K135" s="70">
        <v>6.41</v>
      </c>
      <c r="L135" s="64">
        <f t="shared" si="2"/>
        <v>553.46</v>
      </c>
    </row>
    <row r="136" spans="1:12" x14ac:dyDescent="0.25">
      <c r="A136" s="65">
        <v>1790</v>
      </c>
      <c r="B136" s="65" t="s">
        <v>229</v>
      </c>
      <c r="C136" s="65" t="s">
        <v>349</v>
      </c>
      <c r="D136" s="65">
        <v>4</v>
      </c>
      <c r="E136" s="65"/>
      <c r="F136" s="70">
        <v>-737.03</v>
      </c>
      <c r="G136" s="70">
        <v>-13.93</v>
      </c>
      <c r="H136" s="70">
        <v>46.57</v>
      </c>
      <c r="I136" s="70">
        <v>-0.41</v>
      </c>
      <c r="J136" s="70">
        <v>-45.91</v>
      </c>
      <c r="K136" s="70">
        <v>6.19</v>
      </c>
      <c r="L136" s="64">
        <f t="shared" si="2"/>
        <v>737.03</v>
      </c>
    </row>
    <row r="137" spans="1:12" x14ac:dyDescent="0.25">
      <c r="A137" s="65">
        <v>38</v>
      </c>
      <c r="B137" s="65" t="s">
        <v>229</v>
      </c>
      <c r="C137" s="65" t="s">
        <v>267</v>
      </c>
      <c r="D137" s="65">
        <v>4</v>
      </c>
      <c r="E137" s="65"/>
      <c r="F137" s="70">
        <v>173.37</v>
      </c>
      <c r="G137" s="70">
        <v>-1.2</v>
      </c>
      <c r="H137" s="70">
        <v>46.47</v>
      </c>
      <c r="I137" s="70">
        <v>-0.22</v>
      </c>
      <c r="J137" s="70">
        <v>26.56</v>
      </c>
      <c r="K137" s="70">
        <v>0.56000000000000005</v>
      </c>
      <c r="L137" s="64">
        <f t="shared" si="2"/>
        <v>-173.37</v>
      </c>
    </row>
    <row r="138" spans="1:12" x14ac:dyDescent="0.25">
      <c r="A138" s="65">
        <v>2331</v>
      </c>
      <c r="B138" s="65" t="s">
        <v>229</v>
      </c>
      <c r="C138" s="65" t="s">
        <v>855</v>
      </c>
      <c r="D138" s="65">
        <v>4</v>
      </c>
      <c r="E138" s="65"/>
      <c r="F138" s="70">
        <v>536.66</v>
      </c>
      <c r="G138" s="70">
        <v>-7.52</v>
      </c>
      <c r="H138" s="70">
        <v>46.26</v>
      </c>
      <c r="I138" s="70">
        <v>-0.74</v>
      </c>
      <c r="J138" s="70">
        <v>72.87</v>
      </c>
      <c r="K138" s="70">
        <v>3.75</v>
      </c>
      <c r="L138" s="64">
        <f t="shared" si="2"/>
        <v>-536.66</v>
      </c>
    </row>
    <row r="139" spans="1:12" x14ac:dyDescent="0.25">
      <c r="A139" s="65">
        <v>1989</v>
      </c>
      <c r="B139" s="65" t="s">
        <v>229</v>
      </c>
      <c r="C139" s="65" t="s">
        <v>531</v>
      </c>
      <c r="D139" s="65">
        <v>4</v>
      </c>
      <c r="E139" s="65"/>
      <c r="F139" s="70">
        <v>344.43</v>
      </c>
      <c r="G139" s="70">
        <v>-8.98</v>
      </c>
      <c r="H139" s="70">
        <v>45.81</v>
      </c>
      <c r="I139" s="70">
        <v>-0.72</v>
      </c>
      <c r="J139" s="70">
        <v>34.54</v>
      </c>
      <c r="K139" s="70">
        <v>4.2</v>
      </c>
      <c r="L139" s="64">
        <f t="shared" si="2"/>
        <v>-344.43</v>
      </c>
    </row>
    <row r="140" spans="1:12" x14ac:dyDescent="0.25">
      <c r="A140" s="65">
        <v>1921</v>
      </c>
      <c r="B140" s="65" t="s">
        <v>229</v>
      </c>
      <c r="C140" s="65" t="s">
        <v>466</v>
      </c>
      <c r="D140" s="65">
        <v>0</v>
      </c>
      <c r="E140" s="65"/>
      <c r="F140" s="70">
        <v>225.92</v>
      </c>
      <c r="G140" s="70">
        <v>-9.9</v>
      </c>
      <c r="H140" s="70">
        <v>45.74</v>
      </c>
      <c r="I140" s="70">
        <v>-0.69</v>
      </c>
      <c r="J140" s="70">
        <v>39.6</v>
      </c>
      <c r="K140" s="70">
        <v>-5.21</v>
      </c>
      <c r="L140" s="64">
        <f t="shared" si="2"/>
        <v>-225.92</v>
      </c>
    </row>
    <row r="141" spans="1:12" x14ac:dyDescent="0.25">
      <c r="A141" s="65">
        <v>1854</v>
      </c>
      <c r="B141" s="65" t="s">
        <v>229</v>
      </c>
      <c r="C141" s="65" t="s">
        <v>404</v>
      </c>
      <c r="D141" s="65">
        <v>0</v>
      </c>
      <c r="E141" s="65"/>
      <c r="F141" s="70">
        <v>-230.72</v>
      </c>
      <c r="G141" s="70">
        <v>-12.07</v>
      </c>
      <c r="H141" s="70">
        <v>45.65</v>
      </c>
      <c r="I141" s="70">
        <v>-0.63</v>
      </c>
      <c r="J141" s="70">
        <v>-27.66</v>
      </c>
      <c r="K141" s="70">
        <v>-6.4</v>
      </c>
      <c r="L141" s="64">
        <f t="shared" si="2"/>
        <v>230.72</v>
      </c>
    </row>
    <row r="142" spans="1:12" x14ac:dyDescent="0.25">
      <c r="A142" s="65">
        <v>1988</v>
      </c>
      <c r="B142" s="65" t="s">
        <v>229</v>
      </c>
      <c r="C142" s="65" t="s">
        <v>529</v>
      </c>
      <c r="D142" s="65">
        <v>4</v>
      </c>
      <c r="E142" s="65"/>
      <c r="F142" s="70">
        <v>445.15</v>
      </c>
      <c r="G142" s="70">
        <v>-8.34</v>
      </c>
      <c r="H142" s="70">
        <v>45.58</v>
      </c>
      <c r="I142" s="70">
        <v>-0.73</v>
      </c>
      <c r="J142" s="70">
        <v>48.88</v>
      </c>
      <c r="K142" s="70">
        <v>3.95</v>
      </c>
      <c r="L142" s="64">
        <f t="shared" si="2"/>
        <v>-445.15</v>
      </c>
    </row>
    <row r="143" spans="1:12" x14ac:dyDescent="0.25">
      <c r="A143" s="65">
        <v>2540</v>
      </c>
      <c r="B143" s="65" t="s">
        <v>229</v>
      </c>
      <c r="C143" s="65" t="s">
        <v>1057</v>
      </c>
      <c r="D143" s="65">
        <v>4</v>
      </c>
      <c r="E143" s="65"/>
      <c r="F143" s="70">
        <v>225.24</v>
      </c>
      <c r="G143" s="70">
        <v>-1.1100000000000001</v>
      </c>
      <c r="H143" s="70">
        <v>45.57</v>
      </c>
      <c r="I143" s="70">
        <v>-0.22</v>
      </c>
      <c r="J143" s="70">
        <v>34.72</v>
      </c>
      <c r="K143" s="70">
        <v>0.53</v>
      </c>
      <c r="L143" s="64">
        <f t="shared" si="2"/>
        <v>-225.24</v>
      </c>
    </row>
    <row r="144" spans="1:12" x14ac:dyDescent="0.25">
      <c r="A144" s="65">
        <v>2541</v>
      </c>
      <c r="B144" s="65" t="s">
        <v>229</v>
      </c>
      <c r="C144" s="65" t="s">
        <v>1059</v>
      </c>
      <c r="D144" s="65">
        <v>4</v>
      </c>
      <c r="E144" s="65"/>
      <c r="F144" s="70">
        <v>173.4</v>
      </c>
      <c r="G144" s="70">
        <v>-1.2</v>
      </c>
      <c r="H144" s="70">
        <v>45.29</v>
      </c>
      <c r="I144" s="70">
        <v>-0.22</v>
      </c>
      <c r="J144" s="70">
        <v>27.07</v>
      </c>
      <c r="K144" s="70">
        <v>0.56000000000000005</v>
      </c>
      <c r="L144" s="64">
        <f t="shared" si="2"/>
        <v>-173.4</v>
      </c>
    </row>
    <row r="145" spans="1:12" x14ac:dyDescent="0.25">
      <c r="A145" s="65">
        <v>2480</v>
      </c>
      <c r="B145" s="65" t="s">
        <v>229</v>
      </c>
      <c r="C145" s="65" t="s">
        <v>1009</v>
      </c>
      <c r="D145" s="65">
        <v>4</v>
      </c>
      <c r="E145" s="65"/>
      <c r="F145" s="70">
        <v>-735.47</v>
      </c>
      <c r="G145" s="70">
        <v>-13.7</v>
      </c>
      <c r="H145" s="70">
        <v>45.28</v>
      </c>
      <c r="I145" s="70">
        <v>-0.41</v>
      </c>
      <c r="J145" s="70">
        <v>-44.78</v>
      </c>
      <c r="K145" s="70">
        <v>6.09</v>
      </c>
      <c r="L145" s="64">
        <f t="shared" si="2"/>
        <v>735.47</v>
      </c>
    </row>
    <row r="146" spans="1:12" x14ac:dyDescent="0.25">
      <c r="A146" s="65">
        <v>2265</v>
      </c>
      <c r="B146" s="65" t="s">
        <v>229</v>
      </c>
      <c r="C146" s="65" t="s">
        <v>795</v>
      </c>
      <c r="D146" s="65">
        <v>4</v>
      </c>
      <c r="E146" s="65"/>
      <c r="F146" s="70">
        <v>344.44</v>
      </c>
      <c r="G146" s="70">
        <v>-8.99</v>
      </c>
      <c r="H146" s="70">
        <v>45.01</v>
      </c>
      <c r="I146" s="70">
        <v>-0.72</v>
      </c>
      <c r="J146" s="70">
        <v>34.799999999999997</v>
      </c>
      <c r="K146" s="70">
        <v>4.21</v>
      </c>
      <c r="L146" s="64">
        <f t="shared" si="2"/>
        <v>-344.44</v>
      </c>
    </row>
    <row r="147" spans="1:12" x14ac:dyDescent="0.25">
      <c r="A147" s="65">
        <v>1840</v>
      </c>
      <c r="B147" s="65" t="s">
        <v>229</v>
      </c>
      <c r="C147" s="65" t="s">
        <v>377</v>
      </c>
      <c r="D147" s="65">
        <v>4</v>
      </c>
      <c r="E147" s="65"/>
      <c r="F147" s="70">
        <v>-450.33</v>
      </c>
      <c r="G147" s="70">
        <v>-13.61</v>
      </c>
      <c r="H147" s="70">
        <v>44.89</v>
      </c>
      <c r="I147" s="70">
        <v>-0.55000000000000004</v>
      </c>
      <c r="J147" s="70">
        <v>-31.84</v>
      </c>
      <c r="K147" s="70">
        <v>7.25</v>
      </c>
      <c r="L147" s="64">
        <f t="shared" si="2"/>
        <v>450.33</v>
      </c>
    </row>
    <row r="148" spans="1:12" x14ac:dyDescent="0.25">
      <c r="A148" s="65">
        <v>1918</v>
      </c>
      <c r="B148" s="65" t="s">
        <v>229</v>
      </c>
      <c r="C148" s="65" t="s">
        <v>460</v>
      </c>
      <c r="D148" s="65">
        <v>0</v>
      </c>
      <c r="E148" s="65"/>
      <c r="F148" s="70">
        <v>512.41</v>
      </c>
      <c r="G148" s="70">
        <v>-7.79</v>
      </c>
      <c r="H148" s="70">
        <v>44.82</v>
      </c>
      <c r="I148" s="70">
        <v>-0.74</v>
      </c>
      <c r="J148" s="70">
        <v>71.819999999999993</v>
      </c>
      <c r="K148" s="70">
        <v>-3.95</v>
      </c>
      <c r="L148" s="64">
        <f t="shared" si="2"/>
        <v>-512.41</v>
      </c>
    </row>
    <row r="149" spans="1:12" x14ac:dyDescent="0.25">
      <c r="A149" s="65">
        <v>2264</v>
      </c>
      <c r="B149" s="65" t="s">
        <v>229</v>
      </c>
      <c r="C149" s="65" t="s">
        <v>793</v>
      </c>
      <c r="D149" s="65">
        <v>4</v>
      </c>
      <c r="E149" s="65"/>
      <c r="F149" s="70">
        <v>445.16</v>
      </c>
      <c r="G149" s="70">
        <v>-8.34</v>
      </c>
      <c r="H149" s="70">
        <v>44.82</v>
      </c>
      <c r="I149" s="70">
        <v>-0.73</v>
      </c>
      <c r="J149" s="70">
        <v>49.14</v>
      </c>
      <c r="K149" s="70">
        <v>3.96</v>
      </c>
      <c r="L149" s="64">
        <f t="shared" si="2"/>
        <v>-445.16</v>
      </c>
    </row>
    <row r="150" spans="1:12" x14ac:dyDescent="0.25">
      <c r="A150" s="65">
        <v>1858</v>
      </c>
      <c r="B150" s="65" t="s">
        <v>229</v>
      </c>
      <c r="C150" s="65" t="s">
        <v>412</v>
      </c>
      <c r="D150" s="65">
        <v>0</v>
      </c>
      <c r="E150" s="65"/>
      <c r="F150" s="70">
        <v>-633.14</v>
      </c>
      <c r="G150" s="70">
        <v>-14.28</v>
      </c>
      <c r="H150" s="70">
        <v>44.73</v>
      </c>
      <c r="I150" s="70">
        <v>-0.48</v>
      </c>
      <c r="J150" s="70">
        <v>-24.92</v>
      </c>
      <c r="K150" s="70">
        <v>-7.66</v>
      </c>
      <c r="L150" s="64">
        <f t="shared" si="2"/>
        <v>633.14</v>
      </c>
    </row>
    <row r="151" spans="1:12" x14ac:dyDescent="0.25">
      <c r="A151" s="65">
        <v>36</v>
      </c>
      <c r="B151" s="65" t="s">
        <v>229</v>
      </c>
      <c r="C151" s="65" t="s">
        <v>263</v>
      </c>
      <c r="D151" s="65">
        <v>4</v>
      </c>
      <c r="E151" s="65"/>
      <c r="F151" s="70">
        <v>259.33</v>
      </c>
      <c r="G151" s="70">
        <v>-1.04</v>
      </c>
      <c r="H151" s="70">
        <v>44.69</v>
      </c>
      <c r="I151" s="70">
        <v>-0.23</v>
      </c>
      <c r="J151" s="70">
        <v>40.79</v>
      </c>
      <c r="K151" s="70">
        <v>0.5</v>
      </c>
      <c r="L151" s="64">
        <f t="shared" si="2"/>
        <v>-259.33</v>
      </c>
    </row>
    <row r="152" spans="1:12" x14ac:dyDescent="0.25">
      <c r="A152" s="65">
        <v>1927</v>
      </c>
      <c r="B152" s="65" t="s">
        <v>229</v>
      </c>
      <c r="C152" s="65" t="s">
        <v>479</v>
      </c>
      <c r="D152" s="65">
        <v>4</v>
      </c>
      <c r="E152" s="65"/>
      <c r="F152" s="70">
        <v>-630.52</v>
      </c>
      <c r="G152" s="70">
        <v>-14.27</v>
      </c>
      <c r="H152" s="70">
        <v>44.51</v>
      </c>
      <c r="I152" s="70">
        <v>-0.48</v>
      </c>
      <c r="J152" s="70">
        <v>-36.979999999999997</v>
      </c>
      <c r="K152" s="70">
        <v>6.46</v>
      </c>
      <c r="L152" s="64">
        <f t="shared" si="2"/>
        <v>630.52</v>
      </c>
    </row>
    <row r="153" spans="1:12" x14ac:dyDescent="0.25">
      <c r="A153" s="65">
        <v>2335</v>
      </c>
      <c r="B153" s="65" t="s">
        <v>229</v>
      </c>
      <c r="C153" s="65" t="s">
        <v>862</v>
      </c>
      <c r="D153" s="65">
        <v>0</v>
      </c>
      <c r="E153" s="65"/>
      <c r="F153" s="70">
        <v>226.79</v>
      </c>
      <c r="G153" s="70">
        <v>-9.89</v>
      </c>
      <c r="H153" s="70">
        <v>44.5</v>
      </c>
      <c r="I153" s="70">
        <v>-0.69</v>
      </c>
      <c r="J153" s="70">
        <v>39.17</v>
      </c>
      <c r="K153" s="70">
        <v>-5.21</v>
      </c>
      <c r="L153" s="64">
        <f t="shared" si="2"/>
        <v>-226.79</v>
      </c>
    </row>
    <row r="154" spans="1:12" x14ac:dyDescent="0.25">
      <c r="A154" s="65">
        <v>39</v>
      </c>
      <c r="B154" s="65" t="s">
        <v>229</v>
      </c>
      <c r="C154" s="65" t="s">
        <v>269</v>
      </c>
      <c r="D154" s="65">
        <v>4</v>
      </c>
      <c r="E154" s="65"/>
      <c r="F154" s="70">
        <v>113.22</v>
      </c>
      <c r="G154" s="70">
        <v>-1.32</v>
      </c>
      <c r="H154" s="70">
        <v>44.14</v>
      </c>
      <c r="I154" s="70">
        <v>-0.21</v>
      </c>
      <c r="J154" s="70">
        <v>19.52</v>
      </c>
      <c r="K154" s="70">
        <v>0.61</v>
      </c>
      <c r="L154" s="64">
        <f t="shared" si="2"/>
        <v>-113.22</v>
      </c>
    </row>
    <row r="155" spans="1:12" x14ac:dyDescent="0.25">
      <c r="A155" s="65">
        <v>1841</v>
      </c>
      <c r="B155" s="65" t="s">
        <v>229</v>
      </c>
      <c r="C155" s="65" t="s">
        <v>379</v>
      </c>
      <c r="D155" s="65">
        <v>4</v>
      </c>
      <c r="E155" s="65"/>
      <c r="F155" s="70">
        <v>-346</v>
      </c>
      <c r="G155" s="70">
        <v>-12.95</v>
      </c>
      <c r="H155" s="70">
        <v>43.95</v>
      </c>
      <c r="I155" s="70">
        <v>-0.59</v>
      </c>
      <c r="J155" s="70">
        <v>-32.03</v>
      </c>
      <c r="K155" s="70">
        <v>6.88</v>
      </c>
      <c r="L155" s="64">
        <f t="shared" si="2"/>
        <v>346</v>
      </c>
    </row>
    <row r="156" spans="1:12" x14ac:dyDescent="0.25">
      <c r="A156" s="65">
        <v>2406</v>
      </c>
      <c r="B156" s="65" t="s">
        <v>229</v>
      </c>
      <c r="C156" s="65" t="s">
        <v>932</v>
      </c>
      <c r="D156" s="65">
        <v>0</v>
      </c>
      <c r="E156" s="65"/>
      <c r="F156" s="70">
        <v>-227.69</v>
      </c>
      <c r="G156" s="70">
        <v>-12.02</v>
      </c>
      <c r="H156" s="70">
        <v>43.9</v>
      </c>
      <c r="I156" s="70">
        <v>-0.62</v>
      </c>
      <c r="J156" s="70">
        <v>-28.72</v>
      </c>
      <c r="K156" s="70">
        <v>-6.37</v>
      </c>
      <c r="L156" s="64">
        <f t="shared" si="2"/>
        <v>227.69</v>
      </c>
    </row>
    <row r="157" spans="1:12" x14ac:dyDescent="0.25">
      <c r="A157" s="65">
        <v>2332</v>
      </c>
      <c r="B157" s="65" t="s">
        <v>229</v>
      </c>
      <c r="C157" s="65" t="s">
        <v>856</v>
      </c>
      <c r="D157" s="65">
        <v>0</v>
      </c>
      <c r="E157" s="65"/>
      <c r="F157" s="70">
        <v>512.41</v>
      </c>
      <c r="G157" s="70">
        <v>-7.79</v>
      </c>
      <c r="H157" s="70">
        <v>43.71</v>
      </c>
      <c r="I157" s="70">
        <v>-0.74</v>
      </c>
      <c r="J157" s="70">
        <v>71.3</v>
      </c>
      <c r="K157" s="70">
        <v>-3.95</v>
      </c>
      <c r="L157" s="64">
        <f t="shared" si="2"/>
        <v>-512.41</v>
      </c>
    </row>
    <row r="158" spans="1:12" x14ac:dyDescent="0.25">
      <c r="A158" s="65">
        <v>2539</v>
      </c>
      <c r="B158" s="65" t="s">
        <v>229</v>
      </c>
      <c r="C158" s="65" t="s">
        <v>1055</v>
      </c>
      <c r="D158" s="65">
        <v>4</v>
      </c>
      <c r="E158" s="65"/>
      <c r="F158" s="70">
        <v>259.33</v>
      </c>
      <c r="G158" s="70">
        <v>-1.04</v>
      </c>
      <c r="H158" s="70">
        <v>43.64</v>
      </c>
      <c r="I158" s="70">
        <v>-0.23</v>
      </c>
      <c r="J158" s="70">
        <v>41.27</v>
      </c>
      <c r="K158" s="70">
        <v>0.5</v>
      </c>
      <c r="L158" s="64">
        <f t="shared" si="2"/>
        <v>-259.33</v>
      </c>
    </row>
    <row r="159" spans="1:12" x14ac:dyDescent="0.25">
      <c r="A159" s="65">
        <v>1923</v>
      </c>
      <c r="B159" s="65" t="s">
        <v>229</v>
      </c>
      <c r="C159" s="65" t="s">
        <v>471</v>
      </c>
      <c r="D159" s="65">
        <v>4</v>
      </c>
      <c r="E159" s="65"/>
      <c r="F159" s="70">
        <v>-228.08</v>
      </c>
      <c r="G159" s="70">
        <v>-12.07</v>
      </c>
      <c r="H159" s="70">
        <v>43.53</v>
      </c>
      <c r="I159" s="70">
        <v>-0.63</v>
      </c>
      <c r="J159" s="70">
        <v>-28.08</v>
      </c>
      <c r="K159" s="70">
        <v>5.54</v>
      </c>
      <c r="L159" s="64">
        <f t="shared" si="2"/>
        <v>228.08</v>
      </c>
    </row>
    <row r="160" spans="1:12" x14ac:dyDescent="0.25">
      <c r="A160" s="65">
        <v>2392</v>
      </c>
      <c r="B160" s="65" t="s">
        <v>229</v>
      </c>
      <c r="C160" s="65" t="s">
        <v>905</v>
      </c>
      <c r="D160" s="65">
        <v>4</v>
      </c>
      <c r="E160" s="65"/>
      <c r="F160" s="70">
        <v>-453.51</v>
      </c>
      <c r="G160" s="70">
        <v>-13.71</v>
      </c>
      <c r="H160" s="70">
        <v>43.18</v>
      </c>
      <c r="I160" s="70">
        <v>-0.55000000000000004</v>
      </c>
      <c r="J160" s="70">
        <v>-30.79</v>
      </c>
      <c r="K160" s="70">
        <v>7.3</v>
      </c>
      <c r="L160" s="64">
        <f t="shared" si="2"/>
        <v>453.51</v>
      </c>
    </row>
    <row r="161" spans="1:12" x14ac:dyDescent="0.25">
      <c r="A161" s="65">
        <v>1990</v>
      </c>
      <c r="B161" s="65" t="s">
        <v>229</v>
      </c>
      <c r="C161" s="65" t="s">
        <v>533</v>
      </c>
      <c r="D161" s="65">
        <v>4</v>
      </c>
      <c r="E161" s="65"/>
      <c r="F161" s="70">
        <v>224.16</v>
      </c>
      <c r="G161" s="70">
        <v>-9.9</v>
      </c>
      <c r="H161" s="70">
        <v>42.92</v>
      </c>
      <c r="I161" s="70">
        <v>-0.69</v>
      </c>
      <c r="J161" s="70">
        <v>21.06</v>
      </c>
      <c r="K161" s="70">
        <v>4.59</v>
      </c>
      <c r="L161" s="64">
        <f t="shared" si="2"/>
        <v>-224.16</v>
      </c>
    </row>
    <row r="162" spans="1:12" x14ac:dyDescent="0.25">
      <c r="A162" s="65">
        <v>2542</v>
      </c>
      <c r="B162" s="65" t="s">
        <v>229</v>
      </c>
      <c r="C162" s="65" t="s">
        <v>1061</v>
      </c>
      <c r="D162" s="65">
        <v>4</v>
      </c>
      <c r="E162" s="65"/>
      <c r="F162" s="70">
        <v>113.47</v>
      </c>
      <c r="G162" s="70">
        <v>-1.32</v>
      </c>
      <c r="H162" s="70">
        <v>42.91</v>
      </c>
      <c r="I162" s="70">
        <v>-0.21</v>
      </c>
      <c r="J162" s="70">
        <v>20.11</v>
      </c>
      <c r="K162" s="70">
        <v>0.61</v>
      </c>
      <c r="L162" s="64">
        <f t="shared" si="2"/>
        <v>-113.47</v>
      </c>
    </row>
    <row r="163" spans="1:12" x14ac:dyDescent="0.25">
      <c r="A163" s="65">
        <v>2341</v>
      </c>
      <c r="B163" s="65" t="s">
        <v>229</v>
      </c>
      <c r="C163" s="65" t="s">
        <v>875</v>
      </c>
      <c r="D163" s="65">
        <v>4</v>
      </c>
      <c r="E163" s="65"/>
      <c r="F163" s="70">
        <v>-629.15</v>
      </c>
      <c r="G163" s="70">
        <v>-14.15</v>
      </c>
      <c r="H163" s="70">
        <v>42.84</v>
      </c>
      <c r="I163" s="70">
        <v>-0.48</v>
      </c>
      <c r="J163" s="70">
        <v>-35.950000000000003</v>
      </c>
      <c r="K163" s="70">
        <v>6.4</v>
      </c>
      <c r="L163" s="64">
        <f t="shared" si="2"/>
        <v>629.15</v>
      </c>
    </row>
    <row r="164" spans="1:12" x14ac:dyDescent="0.25">
      <c r="A164" s="65">
        <v>2410</v>
      </c>
      <c r="B164" s="65" t="s">
        <v>229</v>
      </c>
      <c r="C164" s="65" t="s">
        <v>940</v>
      </c>
      <c r="D164" s="65">
        <v>0</v>
      </c>
      <c r="E164" s="65"/>
      <c r="F164" s="70">
        <v>-631.44000000000005</v>
      </c>
      <c r="G164" s="70">
        <v>-14.14</v>
      </c>
      <c r="H164" s="70">
        <v>42.6</v>
      </c>
      <c r="I164" s="70">
        <v>-0.48</v>
      </c>
      <c r="J164" s="70">
        <v>-25.96</v>
      </c>
      <c r="K164" s="70">
        <v>-7.58</v>
      </c>
      <c r="L164" s="64">
        <f t="shared" si="2"/>
        <v>631.44000000000005</v>
      </c>
    </row>
    <row r="165" spans="1:12" x14ac:dyDescent="0.25">
      <c r="A165" s="65">
        <v>2393</v>
      </c>
      <c r="B165" s="65" t="s">
        <v>229</v>
      </c>
      <c r="C165" s="65" t="s">
        <v>907</v>
      </c>
      <c r="D165" s="65">
        <v>4</v>
      </c>
      <c r="E165" s="65"/>
      <c r="F165" s="70">
        <v>-349.79</v>
      </c>
      <c r="G165" s="70">
        <v>-13.01</v>
      </c>
      <c r="H165" s="70">
        <v>42.25</v>
      </c>
      <c r="I165" s="70">
        <v>-0.59</v>
      </c>
      <c r="J165" s="70">
        <v>-30.97</v>
      </c>
      <c r="K165" s="70">
        <v>6.92</v>
      </c>
      <c r="L165" s="64">
        <f t="shared" si="2"/>
        <v>349.79</v>
      </c>
    </row>
    <row r="166" spans="1:12" x14ac:dyDescent="0.25">
      <c r="A166" s="65">
        <v>2337</v>
      </c>
      <c r="B166" s="65" t="s">
        <v>229</v>
      </c>
      <c r="C166" s="65" t="s">
        <v>867</v>
      </c>
      <c r="D166" s="65">
        <v>4</v>
      </c>
      <c r="E166" s="65"/>
      <c r="F166" s="70">
        <v>-225.62</v>
      </c>
      <c r="G166" s="70">
        <v>-12.03</v>
      </c>
      <c r="H166" s="70">
        <v>42.24</v>
      </c>
      <c r="I166" s="70">
        <v>-0.63</v>
      </c>
      <c r="J166" s="70">
        <v>-27.29</v>
      </c>
      <c r="K166" s="70">
        <v>5.52</v>
      </c>
      <c r="L166" s="64">
        <f t="shared" si="2"/>
        <v>225.62</v>
      </c>
    </row>
    <row r="167" spans="1:12" x14ac:dyDescent="0.25">
      <c r="A167" s="65">
        <v>2266</v>
      </c>
      <c r="B167" s="65" t="s">
        <v>229</v>
      </c>
      <c r="C167" s="65" t="s">
        <v>797</v>
      </c>
      <c r="D167" s="65">
        <v>4</v>
      </c>
      <c r="E167" s="65"/>
      <c r="F167" s="70">
        <v>224.69</v>
      </c>
      <c r="G167" s="70">
        <v>-9.9</v>
      </c>
      <c r="H167" s="70">
        <v>42.11</v>
      </c>
      <c r="I167" s="70">
        <v>-0.69</v>
      </c>
      <c r="J167" s="70">
        <v>21.3</v>
      </c>
      <c r="K167" s="70">
        <v>4.59</v>
      </c>
      <c r="L167" s="64">
        <f t="shared" si="2"/>
        <v>-224.69</v>
      </c>
    </row>
    <row r="168" spans="1:12" x14ac:dyDescent="0.25">
      <c r="A168" s="65">
        <v>37</v>
      </c>
      <c r="B168" s="65" t="s">
        <v>229</v>
      </c>
      <c r="C168" s="65" t="s">
        <v>264</v>
      </c>
      <c r="D168" s="65">
        <v>0</v>
      </c>
      <c r="E168" s="65"/>
      <c r="F168" s="70">
        <v>225.61</v>
      </c>
      <c r="G168" s="70">
        <v>-1.1100000000000001</v>
      </c>
      <c r="H168" s="70">
        <v>42.09</v>
      </c>
      <c r="I168" s="70">
        <v>-0.22</v>
      </c>
      <c r="J168" s="70">
        <v>40.57</v>
      </c>
      <c r="K168" s="70">
        <v>-0.56999999999999995</v>
      </c>
      <c r="L168" s="64">
        <f t="shared" si="2"/>
        <v>-225.61</v>
      </c>
    </row>
    <row r="169" spans="1:12" x14ac:dyDescent="0.25">
      <c r="A169" s="65">
        <v>1856</v>
      </c>
      <c r="B169" s="65" t="s">
        <v>229</v>
      </c>
      <c r="C169" s="65" t="s">
        <v>409</v>
      </c>
      <c r="D169" s="65">
        <v>4</v>
      </c>
      <c r="E169" s="65"/>
      <c r="F169" s="70">
        <v>-456.13</v>
      </c>
      <c r="G169" s="70">
        <v>-13.72</v>
      </c>
      <c r="H169" s="70">
        <v>41.9</v>
      </c>
      <c r="I169" s="70">
        <v>-0.55000000000000004</v>
      </c>
      <c r="J169" s="70">
        <v>-29.51</v>
      </c>
      <c r="K169" s="70">
        <v>6.27</v>
      </c>
      <c r="L169" s="64">
        <f t="shared" si="2"/>
        <v>456.13</v>
      </c>
    </row>
    <row r="170" spans="1:12" x14ac:dyDescent="0.25">
      <c r="A170" s="65">
        <v>38</v>
      </c>
      <c r="B170" s="65" t="s">
        <v>229</v>
      </c>
      <c r="C170" s="65" t="s">
        <v>266</v>
      </c>
      <c r="D170" s="65">
        <v>0</v>
      </c>
      <c r="E170" s="65"/>
      <c r="F170" s="70">
        <v>173.94</v>
      </c>
      <c r="G170" s="70">
        <v>-1.2</v>
      </c>
      <c r="H170" s="70">
        <v>41.89</v>
      </c>
      <c r="I170" s="70">
        <v>-0.22</v>
      </c>
      <c r="J170" s="70">
        <v>33.79</v>
      </c>
      <c r="K170" s="70">
        <v>-0.63</v>
      </c>
      <c r="L170" s="64">
        <f t="shared" si="2"/>
        <v>-173.94</v>
      </c>
    </row>
    <row r="171" spans="1:12" x14ac:dyDescent="0.25">
      <c r="A171" s="65">
        <v>1987</v>
      </c>
      <c r="B171" s="65" t="s">
        <v>229</v>
      </c>
      <c r="C171" s="65" t="s">
        <v>527</v>
      </c>
      <c r="D171" s="65">
        <v>4</v>
      </c>
      <c r="E171" s="65"/>
      <c r="F171" s="70">
        <v>510.83</v>
      </c>
      <c r="G171" s="70">
        <v>-7.79</v>
      </c>
      <c r="H171" s="70">
        <v>41.35</v>
      </c>
      <c r="I171" s="70">
        <v>-0.74</v>
      </c>
      <c r="J171" s="70">
        <v>61.06</v>
      </c>
      <c r="K171" s="70">
        <v>3.75</v>
      </c>
      <c r="L171" s="64">
        <f t="shared" si="2"/>
        <v>-510.83</v>
      </c>
    </row>
    <row r="172" spans="1:12" x14ac:dyDescent="0.25">
      <c r="A172" s="65">
        <v>1839</v>
      </c>
      <c r="B172" s="65" t="s">
        <v>229</v>
      </c>
      <c r="C172" s="65" t="s">
        <v>375</v>
      </c>
      <c r="D172" s="65">
        <v>4</v>
      </c>
      <c r="E172" s="65"/>
      <c r="F172" s="70">
        <v>-545.15</v>
      </c>
      <c r="G172" s="70">
        <v>-14.1</v>
      </c>
      <c r="H172" s="70">
        <v>41.27</v>
      </c>
      <c r="I172" s="70">
        <v>-0.51</v>
      </c>
      <c r="J172" s="70">
        <v>-28.11</v>
      </c>
      <c r="K172" s="70">
        <v>7.53</v>
      </c>
      <c r="L172" s="64">
        <f t="shared" si="2"/>
        <v>545.15</v>
      </c>
    </row>
    <row r="173" spans="1:12" x14ac:dyDescent="0.25">
      <c r="A173" s="65">
        <v>35</v>
      </c>
      <c r="B173" s="65" t="s">
        <v>229</v>
      </c>
      <c r="C173" s="65" t="s">
        <v>261</v>
      </c>
      <c r="D173" s="65">
        <v>4</v>
      </c>
      <c r="E173" s="65"/>
      <c r="F173" s="70">
        <v>271.56</v>
      </c>
      <c r="G173" s="70">
        <v>-1</v>
      </c>
      <c r="H173" s="70">
        <v>41.17</v>
      </c>
      <c r="I173" s="70">
        <v>-0.23</v>
      </c>
      <c r="J173" s="70">
        <v>44.38</v>
      </c>
      <c r="K173" s="70">
        <v>0.5</v>
      </c>
      <c r="L173" s="64">
        <f t="shared" si="2"/>
        <v>-271.56</v>
      </c>
    </row>
    <row r="174" spans="1:12" x14ac:dyDescent="0.25">
      <c r="A174" s="65">
        <v>1922</v>
      </c>
      <c r="B174" s="65" t="s">
        <v>229</v>
      </c>
      <c r="C174" s="65" t="s">
        <v>468</v>
      </c>
      <c r="D174" s="65">
        <v>0</v>
      </c>
      <c r="E174" s="65"/>
      <c r="F174" s="70">
        <v>111.14</v>
      </c>
      <c r="G174" s="70">
        <v>-10.78</v>
      </c>
      <c r="H174" s="70">
        <v>41.09</v>
      </c>
      <c r="I174" s="70">
        <v>-0.67</v>
      </c>
      <c r="J174" s="70">
        <v>26.8</v>
      </c>
      <c r="K174" s="70">
        <v>-5.7</v>
      </c>
      <c r="L174" s="64">
        <f t="shared" si="2"/>
        <v>-111.14</v>
      </c>
    </row>
    <row r="175" spans="1:12" x14ac:dyDescent="0.25">
      <c r="A175" s="65">
        <v>2540</v>
      </c>
      <c r="B175" s="65" t="s">
        <v>229</v>
      </c>
      <c r="C175" s="65" t="s">
        <v>1056</v>
      </c>
      <c r="D175" s="65">
        <v>0</v>
      </c>
      <c r="E175" s="65"/>
      <c r="F175" s="70">
        <v>225.62</v>
      </c>
      <c r="G175" s="70">
        <v>-1.1100000000000001</v>
      </c>
      <c r="H175" s="70">
        <v>40.97</v>
      </c>
      <c r="I175" s="70">
        <v>-0.22</v>
      </c>
      <c r="J175" s="70">
        <v>40.07</v>
      </c>
      <c r="K175" s="70">
        <v>-0.56999999999999995</v>
      </c>
      <c r="L175" s="64">
        <f t="shared" si="2"/>
        <v>-225.62</v>
      </c>
    </row>
    <row r="176" spans="1:12" x14ac:dyDescent="0.25">
      <c r="A176" s="65">
        <v>2541</v>
      </c>
      <c r="B176" s="65" t="s">
        <v>229</v>
      </c>
      <c r="C176" s="65" t="s">
        <v>1058</v>
      </c>
      <c r="D176" s="65">
        <v>0</v>
      </c>
      <c r="E176" s="65"/>
      <c r="F176" s="70">
        <v>173.97</v>
      </c>
      <c r="G176" s="70">
        <v>-1.2</v>
      </c>
      <c r="H176" s="70">
        <v>40.71</v>
      </c>
      <c r="I176" s="70">
        <v>-0.22</v>
      </c>
      <c r="J176" s="70">
        <v>33.229999999999997</v>
      </c>
      <c r="K176" s="70">
        <v>-0.63</v>
      </c>
      <c r="L176" s="64">
        <f t="shared" si="2"/>
        <v>-173.97</v>
      </c>
    </row>
    <row r="177" spans="1:12" x14ac:dyDescent="0.25">
      <c r="A177" s="65">
        <v>40</v>
      </c>
      <c r="B177" s="65" t="s">
        <v>229</v>
      </c>
      <c r="C177" s="65" t="s">
        <v>271</v>
      </c>
      <c r="D177" s="65">
        <v>4</v>
      </c>
      <c r="E177" s="65"/>
      <c r="F177" s="70">
        <v>54.91</v>
      </c>
      <c r="G177" s="70">
        <v>-1.44</v>
      </c>
      <c r="H177" s="70">
        <v>40.65</v>
      </c>
      <c r="I177" s="70">
        <v>-0.21</v>
      </c>
      <c r="J177" s="70">
        <v>-19.920000000000002</v>
      </c>
      <c r="K177" s="70">
        <v>0.66</v>
      </c>
      <c r="L177" s="64">
        <f t="shared" si="2"/>
        <v>-54.91</v>
      </c>
    </row>
    <row r="178" spans="1:12" x14ac:dyDescent="0.25">
      <c r="A178" s="65">
        <v>2263</v>
      </c>
      <c r="B178" s="65" t="s">
        <v>229</v>
      </c>
      <c r="C178" s="65" t="s">
        <v>791</v>
      </c>
      <c r="D178" s="65">
        <v>4</v>
      </c>
      <c r="E178" s="65"/>
      <c r="F178" s="70">
        <v>510.84</v>
      </c>
      <c r="G178" s="70">
        <v>-7.79</v>
      </c>
      <c r="H178" s="70">
        <v>40.630000000000003</v>
      </c>
      <c r="I178" s="70">
        <v>-0.74</v>
      </c>
      <c r="J178" s="70">
        <v>61.36</v>
      </c>
      <c r="K178" s="70">
        <v>3.76</v>
      </c>
      <c r="L178" s="64">
        <f t="shared" si="2"/>
        <v>-510.84</v>
      </c>
    </row>
    <row r="179" spans="1:12" x14ac:dyDescent="0.25">
      <c r="A179" s="65">
        <v>2538</v>
      </c>
      <c r="B179" s="65" t="s">
        <v>229</v>
      </c>
      <c r="C179" s="65" t="s">
        <v>1053</v>
      </c>
      <c r="D179" s="65">
        <v>4</v>
      </c>
      <c r="E179" s="65"/>
      <c r="F179" s="70">
        <v>271.55</v>
      </c>
      <c r="G179" s="70">
        <v>-1</v>
      </c>
      <c r="H179" s="70">
        <v>40.17</v>
      </c>
      <c r="I179" s="70">
        <v>-0.23</v>
      </c>
      <c r="J179" s="70">
        <v>44.87</v>
      </c>
      <c r="K179" s="70">
        <v>0.5</v>
      </c>
      <c r="L179" s="64">
        <f t="shared" si="2"/>
        <v>-271.55</v>
      </c>
    </row>
    <row r="180" spans="1:12" x14ac:dyDescent="0.25">
      <c r="A180" s="65">
        <v>2408</v>
      </c>
      <c r="B180" s="65" t="s">
        <v>229</v>
      </c>
      <c r="C180" s="65" t="s">
        <v>937</v>
      </c>
      <c r="D180" s="65">
        <v>4</v>
      </c>
      <c r="E180" s="65"/>
      <c r="F180" s="70">
        <v>-452.81</v>
      </c>
      <c r="G180" s="70">
        <v>-13.63</v>
      </c>
      <c r="H180" s="70">
        <v>40.090000000000003</v>
      </c>
      <c r="I180" s="70">
        <v>-0.55000000000000004</v>
      </c>
      <c r="J180" s="70">
        <v>-28.5</v>
      </c>
      <c r="K180" s="70">
        <v>6.22</v>
      </c>
      <c r="L180" s="64">
        <f t="shared" si="2"/>
        <v>452.81</v>
      </c>
    </row>
    <row r="181" spans="1:12" x14ac:dyDescent="0.25">
      <c r="A181" s="65">
        <v>36</v>
      </c>
      <c r="B181" s="65" t="s">
        <v>229</v>
      </c>
      <c r="C181" s="65" t="s">
        <v>262</v>
      </c>
      <c r="D181" s="65">
        <v>0</v>
      </c>
      <c r="E181" s="65"/>
      <c r="F181" s="70">
        <v>259.52</v>
      </c>
      <c r="G181" s="70">
        <v>-1.04</v>
      </c>
      <c r="H181" s="70">
        <v>40.08</v>
      </c>
      <c r="I181" s="70">
        <v>-0.23</v>
      </c>
      <c r="J181" s="70">
        <v>44.61</v>
      </c>
      <c r="K181" s="70">
        <v>-0.53</v>
      </c>
      <c r="L181" s="64">
        <f t="shared" si="2"/>
        <v>-259.52</v>
      </c>
    </row>
    <row r="182" spans="1:12" x14ac:dyDescent="0.25">
      <c r="A182" s="65">
        <v>1857</v>
      </c>
      <c r="B182" s="65" t="s">
        <v>229</v>
      </c>
      <c r="C182" s="65" t="s">
        <v>411</v>
      </c>
      <c r="D182" s="65">
        <v>4</v>
      </c>
      <c r="E182" s="65"/>
      <c r="F182" s="70">
        <v>-550.37</v>
      </c>
      <c r="G182" s="70">
        <v>-14.2</v>
      </c>
      <c r="H182" s="70">
        <v>39.979999999999997</v>
      </c>
      <c r="I182" s="70">
        <v>-0.51</v>
      </c>
      <c r="J182" s="70">
        <v>-27.12</v>
      </c>
      <c r="K182" s="70">
        <v>6.47</v>
      </c>
      <c r="L182" s="64">
        <f t="shared" si="2"/>
        <v>550.37</v>
      </c>
    </row>
    <row r="183" spans="1:12" x14ac:dyDescent="0.25">
      <c r="A183" s="65">
        <v>2391</v>
      </c>
      <c r="B183" s="65" t="s">
        <v>229</v>
      </c>
      <c r="C183" s="65" t="s">
        <v>903</v>
      </c>
      <c r="D183" s="65">
        <v>4</v>
      </c>
      <c r="E183" s="65"/>
      <c r="F183" s="70">
        <v>-547.6</v>
      </c>
      <c r="G183" s="70">
        <v>-14.22</v>
      </c>
      <c r="H183" s="70">
        <v>39.64</v>
      </c>
      <c r="I183" s="70">
        <v>-0.51</v>
      </c>
      <c r="J183" s="70">
        <v>-27.08</v>
      </c>
      <c r="K183" s="70">
        <v>7.59</v>
      </c>
      <c r="L183" s="64">
        <f t="shared" si="2"/>
        <v>547.6</v>
      </c>
    </row>
    <row r="184" spans="1:12" x14ac:dyDescent="0.25">
      <c r="A184" s="65">
        <v>39</v>
      </c>
      <c r="B184" s="65" t="s">
        <v>229</v>
      </c>
      <c r="C184" s="65" t="s">
        <v>268</v>
      </c>
      <c r="D184" s="65">
        <v>0</v>
      </c>
      <c r="E184" s="65"/>
      <c r="F184" s="70">
        <v>113.98</v>
      </c>
      <c r="G184" s="70">
        <v>-1.32</v>
      </c>
      <c r="H184" s="70">
        <v>39.590000000000003</v>
      </c>
      <c r="I184" s="70">
        <v>-0.21</v>
      </c>
      <c r="J184" s="70">
        <v>27.02</v>
      </c>
      <c r="K184" s="70">
        <v>-0.7</v>
      </c>
      <c r="L184" s="64">
        <f t="shared" si="2"/>
        <v>-113.98</v>
      </c>
    </row>
    <row r="185" spans="1:12" x14ac:dyDescent="0.25">
      <c r="A185" s="65">
        <v>2336</v>
      </c>
      <c r="B185" s="65" t="s">
        <v>229</v>
      </c>
      <c r="C185" s="65" t="s">
        <v>864</v>
      </c>
      <c r="D185" s="65">
        <v>0</v>
      </c>
      <c r="E185" s="65"/>
      <c r="F185" s="70">
        <v>111.08</v>
      </c>
      <c r="G185" s="70">
        <v>-10.76</v>
      </c>
      <c r="H185" s="70">
        <v>39.56</v>
      </c>
      <c r="I185" s="70">
        <v>-0.67</v>
      </c>
      <c r="J185" s="70">
        <v>26.38</v>
      </c>
      <c r="K185" s="70">
        <v>-5.7</v>
      </c>
      <c r="L185" s="64">
        <f t="shared" si="2"/>
        <v>-111.08</v>
      </c>
    </row>
    <row r="186" spans="1:12" x14ac:dyDescent="0.25">
      <c r="A186" s="65">
        <v>2543</v>
      </c>
      <c r="B186" s="65" t="s">
        <v>229</v>
      </c>
      <c r="C186" s="65" t="s">
        <v>1063</v>
      </c>
      <c r="D186" s="65">
        <v>4</v>
      </c>
      <c r="E186" s="65"/>
      <c r="F186" s="70">
        <v>54.91</v>
      </c>
      <c r="G186" s="70">
        <v>-1.44</v>
      </c>
      <c r="H186" s="70">
        <v>39.39</v>
      </c>
      <c r="I186" s="70">
        <v>-0.21</v>
      </c>
      <c r="J186" s="70">
        <v>-19.16</v>
      </c>
      <c r="K186" s="70">
        <v>0.66</v>
      </c>
      <c r="L186" s="64">
        <f t="shared" si="2"/>
        <v>-54.91</v>
      </c>
    </row>
    <row r="187" spans="1:12" x14ac:dyDescent="0.25">
      <c r="A187" s="65">
        <v>1859</v>
      </c>
      <c r="B187" s="65" t="s">
        <v>229</v>
      </c>
      <c r="C187" s="65" t="s">
        <v>415</v>
      </c>
      <c r="D187" s="65">
        <v>4</v>
      </c>
      <c r="E187" s="65"/>
      <c r="F187" s="70">
        <v>-729.36</v>
      </c>
      <c r="G187" s="70">
        <v>-13.92</v>
      </c>
      <c r="H187" s="70">
        <v>39.35</v>
      </c>
      <c r="I187" s="70">
        <v>-0.41</v>
      </c>
      <c r="J187" s="70">
        <v>-42.72</v>
      </c>
      <c r="K187" s="70">
        <v>6.19</v>
      </c>
      <c r="L187" s="64">
        <f t="shared" si="2"/>
        <v>729.36</v>
      </c>
    </row>
    <row r="188" spans="1:12" x14ac:dyDescent="0.25">
      <c r="A188" s="65">
        <v>1791</v>
      </c>
      <c r="B188" s="65" t="s">
        <v>229</v>
      </c>
      <c r="C188" s="65" t="s">
        <v>351</v>
      </c>
      <c r="D188" s="65">
        <v>4</v>
      </c>
      <c r="E188" s="65"/>
      <c r="F188" s="70">
        <v>-813.12</v>
      </c>
      <c r="G188" s="70">
        <v>-12.92</v>
      </c>
      <c r="H188" s="70">
        <v>39.31</v>
      </c>
      <c r="I188" s="70">
        <v>-0.31</v>
      </c>
      <c r="J188" s="70">
        <v>-49.07</v>
      </c>
      <c r="K188" s="70">
        <v>5.65</v>
      </c>
      <c r="L188" s="64">
        <f t="shared" si="2"/>
        <v>813.12</v>
      </c>
    </row>
    <row r="189" spans="1:12" x14ac:dyDescent="0.25">
      <c r="A189" s="65">
        <v>1790</v>
      </c>
      <c r="B189" s="65" t="s">
        <v>229</v>
      </c>
      <c r="C189" s="65" t="s">
        <v>348</v>
      </c>
      <c r="D189" s="65">
        <v>0</v>
      </c>
      <c r="E189" s="65"/>
      <c r="F189" s="70">
        <v>-731.68</v>
      </c>
      <c r="G189" s="70">
        <v>-13.93</v>
      </c>
      <c r="H189" s="70">
        <v>39.07</v>
      </c>
      <c r="I189" s="70">
        <v>-0.41</v>
      </c>
      <c r="J189" s="70">
        <v>-39.4</v>
      </c>
      <c r="K189" s="70">
        <v>-7.56</v>
      </c>
      <c r="L189" s="64">
        <f t="shared" si="2"/>
        <v>731.68</v>
      </c>
    </row>
    <row r="190" spans="1:12" x14ac:dyDescent="0.25">
      <c r="A190" s="65">
        <v>1991</v>
      </c>
      <c r="B190" s="65" t="s">
        <v>229</v>
      </c>
      <c r="C190" s="65" t="s">
        <v>535</v>
      </c>
      <c r="D190" s="65">
        <v>4</v>
      </c>
      <c r="E190" s="65"/>
      <c r="F190" s="70">
        <v>109.05</v>
      </c>
      <c r="G190" s="70">
        <v>-10.77</v>
      </c>
      <c r="H190" s="70">
        <v>39.03</v>
      </c>
      <c r="I190" s="70">
        <v>-0.67</v>
      </c>
      <c r="J190" s="70">
        <v>-19.440000000000001</v>
      </c>
      <c r="K190" s="70">
        <v>4.96</v>
      </c>
      <c r="L190" s="64">
        <f t="shared" si="2"/>
        <v>-109.05</v>
      </c>
    </row>
    <row r="191" spans="1:12" x14ac:dyDescent="0.25">
      <c r="A191" s="65">
        <v>2539</v>
      </c>
      <c r="B191" s="65" t="s">
        <v>229</v>
      </c>
      <c r="C191" s="65" t="s">
        <v>1054</v>
      </c>
      <c r="D191" s="65">
        <v>0</v>
      </c>
      <c r="E191" s="65"/>
      <c r="F191" s="70">
        <v>259.52</v>
      </c>
      <c r="G191" s="70">
        <v>-1.04</v>
      </c>
      <c r="H191" s="70">
        <v>39.03</v>
      </c>
      <c r="I191" s="70">
        <v>-0.23</v>
      </c>
      <c r="J191" s="70">
        <v>44.11</v>
      </c>
      <c r="K191" s="70">
        <v>-0.53</v>
      </c>
      <c r="L191" s="64">
        <f t="shared" si="2"/>
        <v>-259.52</v>
      </c>
    </row>
    <row r="192" spans="1:12" x14ac:dyDescent="0.25">
      <c r="A192" s="65">
        <v>2481</v>
      </c>
      <c r="B192" s="65" t="s">
        <v>229</v>
      </c>
      <c r="C192" s="65" t="s">
        <v>1011</v>
      </c>
      <c r="D192" s="65">
        <v>4</v>
      </c>
      <c r="E192" s="65"/>
      <c r="F192" s="70">
        <v>-811.83</v>
      </c>
      <c r="G192" s="70">
        <v>-12.69</v>
      </c>
      <c r="H192" s="70">
        <v>38.549999999999997</v>
      </c>
      <c r="I192" s="70">
        <v>-0.31</v>
      </c>
      <c r="J192" s="70">
        <v>-48.39</v>
      </c>
      <c r="K192" s="70">
        <v>5.54</v>
      </c>
      <c r="L192" s="64">
        <f t="shared" si="2"/>
        <v>811.83</v>
      </c>
    </row>
    <row r="193" spans="1:12" x14ac:dyDescent="0.25">
      <c r="A193" s="65">
        <v>1924</v>
      </c>
      <c r="B193" s="65" t="s">
        <v>229</v>
      </c>
      <c r="C193" s="65" t="s">
        <v>473</v>
      </c>
      <c r="D193" s="65">
        <v>4</v>
      </c>
      <c r="E193" s="65"/>
      <c r="F193" s="70">
        <v>-346.44</v>
      </c>
      <c r="G193" s="70">
        <v>-13</v>
      </c>
      <c r="H193" s="70">
        <v>38.520000000000003</v>
      </c>
      <c r="I193" s="70">
        <v>-0.6</v>
      </c>
      <c r="J193" s="70">
        <v>-28.43</v>
      </c>
      <c r="K193" s="70">
        <v>5.95</v>
      </c>
      <c r="L193" s="64">
        <f t="shared" si="2"/>
        <v>346.44</v>
      </c>
    </row>
    <row r="194" spans="1:12" x14ac:dyDescent="0.25">
      <c r="A194" s="65">
        <v>2542</v>
      </c>
      <c r="B194" s="65" t="s">
        <v>229</v>
      </c>
      <c r="C194" s="65" t="s">
        <v>1060</v>
      </c>
      <c r="D194" s="65">
        <v>0</v>
      </c>
      <c r="E194" s="65"/>
      <c r="F194" s="70">
        <v>114.23</v>
      </c>
      <c r="G194" s="70">
        <v>-1.32</v>
      </c>
      <c r="H194" s="70">
        <v>38.36</v>
      </c>
      <c r="I194" s="70">
        <v>-0.21</v>
      </c>
      <c r="J194" s="70">
        <v>26.43</v>
      </c>
      <c r="K194" s="70">
        <v>-0.69</v>
      </c>
      <c r="L194" s="64">
        <f t="shared" si="2"/>
        <v>-114.23</v>
      </c>
    </row>
    <row r="195" spans="1:12" x14ac:dyDescent="0.25">
      <c r="A195" s="65">
        <v>2411</v>
      </c>
      <c r="B195" s="65" t="s">
        <v>229</v>
      </c>
      <c r="C195" s="65" t="s">
        <v>943</v>
      </c>
      <c r="D195" s="65">
        <v>4</v>
      </c>
      <c r="E195" s="65"/>
      <c r="F195" s="70">
        <v>-728.17</v>
      </c>
      <c r="G195" s="70">
        <v>-13.71</v>
      </c>
      <c r="H195" s="70">
        <v>38.340000000000003</v>
      </c>
      <c r="I195" s="70">
        <v>-0.41</v>
      </c>
      <c r="J195" s="70">
        <v>-41.77</v>
      </c>
      <c r="K195" s="70">
        <v>6.1</v>
      </c>
      <c r="L195" s="64">
        <f t="shared" ref="L195:L258" si="3">F195*-1</f>
        <v>728.17</v>
      </c>
    </row>
    <row r="196" spans="1:12" x14ac:dyDescent="0.25">
      <c r="A196" s="65">
        <v>2409</v>
      </c>
      <c r="B196" s="65" t="s">
        <v>229</v>
      </c>
      <c r="C196" s="65" t="s">
        <v>939</v>
      </c>
      <c r="D196" s="65">
        <v>4</v>
      </c>
      <c r="E196" s="65"/>
      <c r="F196" s="70">
        <v>-547.91</v>
      </c>
      <c r="G196" s="70">
        <v>-14.08</v>
      </c>
      <c r="H196" s="70">
        <v>38.049999999999997</v>
      </c>
      <c r="I196" s="70">
        <v>-0.51</v>
      </c>
      <c r="J196" s="70">
        <v>-26.12</v>
      </c>
      <c r="K196" s="70">
        <v>6.41</v>
      </c>
      <c r="L196" s="64">
        <f t="shared" si="3"/>
        <v>547.91</v>
      </c>
    </row>
    <row r="197" spans="1:12" x14ac:dyDescent="0.25">
      <c r="A197" s="65">
        <v>2267</v>
      </c>
      <c r="B197" s="65" t="s">
        <v>229</v>
      </c>
      <c r="C197" s="65" t="s">
        <v>799</v>
      </c>
      <c r="D197" s="65">
        <v>4</v>
      </c>
      <c r="E197" s="65"/>
      <c r="F197" s="70">
        <v>108.97</v>
      </c>
      <c r="G197" s="70">
        <v>-10.77</v>
      </c>
      <c r="H197" s="70">
        <v>38.01</v>
      </c>
      <c r="I197" s="70">
        <v>-0.67</v>
      </c>
      <c r="J197" s="70">
        <v>-18.84</v>
      </c>
      <c r="K197" s="70">
        <v>4.96</v>
      </c>
      <c r="L197" s="64">
        <f t="shared" si="3"/>
        <v>-108.97</v>
      </c>
    </row>
    <row r="198" spans="1:12" x14ac:dyDescent="0.25">
      <c r="A198" s="65">
        <v>2480</v>
      </c>
      <c r="B198" s="65" t="s">
        <v>229</v>
      </c>
      <c r="C198" s="65" t="s">
        <v>1008</v>
      </c>
      <c r="D198" s="65">
        <v>0</v>
      </c>
      <c r="E198" s="65"/>
      <c r="F198" s="70">
        <v>-730.12</v>
      </c>
      <c r="G198" s="70">
        <v>-13.7</v>
      </c>
      <c r="H198" s="70">
        <v>37.78</v>
      </c>
      <c r="I198" s="70">
        <v>-0.41</v>
      </c>
      <c r="J198" s="70">
        <v>-40.51</v>
      </c>
      <c r="K198" s="70">
        <v>-7.45</v>
      </c>
      <c r="L198" s="64">
        <f t="shared" si="3"/>
        <v>730.12</v>
      </c>
    </row>
    <row r="199" spans="1:12" x14ac:dyDescent="0.25">
      <c r="A199" s="65">
        <v>2338</v>
      </c>
      <c r="B199" s="65" t="s">
        <v>229</v>
      </c>
      <c r="C199" s="65" t="s">
        <v>869</v>
      </c>
      <c r="D199" s="65">
        <v>4</v>
      </c>
      <c r="E199" s="65"/>
      <c r="F199" s="70">
        <v>-343.27</v>
      </c>
      <c r="G199" s="70">
        <v>-12.95</v>
      </c>
      <c r="H199" s="70">
        <v>37.200000000000003</v>
      </c>
      <c r="I199" s="70">
        <v>-0.6</v>
      </c>
      <c r="J199" s="70">
        <v>-27.5</v>
      </c>
      <c r="K199" s="70">
        <v>5.92</v>
      </c>
      <c r="L199" s="64">
        <f t="shared" si="3"/>
        <v>343.27</v>
      </c>
    </row>
    <row r="200" spans="1:12" x14ac:dyDescent="0.25">
      <c r="A200" s="65">
        <v>41</v>
      </c>
      <c r="B200" s="65" t="s">
        <v>229</v>
      </c>
      <c r="C200" s="65" t="s">
        <v>273</v>
      </c>
      <c r="D200" s="65">
        <v>4</v>
      </c>
      <c r="E200" s="65"/>
      <c r="F200" s="70">
        <v>-120.83</v>
      </c>
      <c r="G200" s="70">
        <v>-1.61</v>
      </c>
      <c r="H200" s="70">
        <v>36.99</v>
      </c>
      <c r="I200" s="70">
        <v>-0.19</v>
      </c>
      <c r="J200" s="70">
        <v>-21.36</v>
      </c>
      <c r="K200" s="70">
        <v>0.74</v>
      </c>
      <c r="L200" s="64">
        <f t="shared" si="3"/>
        <v>120.83</v>
      </c>
    </row>
    <row r="201" spans="1:12" x14ac:dyDescent="0.25">
      <c r="A201" s="65">
        <v>1989</v>
      </c>
      <c r="B201" s="65" t="s">
        <v>229</v>
      </c>
      <c r="C201" s="65" t="s">
        <v>530</v>
      </c>
      <c r="D201" s="65">
        <v>0</v>
      </c>
      <c r="E201" s="65"/>
      <c r="F201" s="70">
        <v>345.56</v>
      </c>
      <c r="G201" s="70">
        <v>-8.98</v>
      </c>
      <c r="H201" s="70">
        <v>36.65</v>
      </c>
      <c r="I201" s="70">
        <v>-0.72</v>
      </c>
      <c r="J201" s="70">
        <v>49.33</v>
      </c>
      <c r="K201" s="70">
        <v>-4.68</v>
      </c>
      <c r="L201" s="64">
        <f t="shared" si="3"/>
        <v>-345.56</v>
      </c>
    </row>
    <row r="202" spans="1:12" x14ac:dyDescent="0.25">
      <c r="A202" s="65">
        <v>1988</v>
      </c>
      <c r="B202" s="65" t="s">
        <v>229</v>
      </c>
      <c r="C202" s="65" t="s">
        <v>528</v>
      </c>
      <c r="D202" s="65">
        <v>0</v>
      </c>
      <c r="E202" s="65"/>
      <c r="F202" s="70">
        <v>445.91</v>
      </c>
      <c r="G202" s="70">
        <v>-8.34</v>
      </c>
      <c r="H202" s="70">
        <v>36.39</v>
      </c>
      <c r="I202" s="70">
        <v>-0.73</v>
      </c>
      <c r="J202" s="70">
        <v>60.18</v>
      </c>
      <c r="K202" s="70">
        <v>-4.3</v>
      </c>
      <c r="L202" s="64">
        <f t="shared" si="3"/>
        <v>-445.91</v>
      </c>
    </row>
    <row r="203" spans="1:12" x14ac:dyDescent="0.25">
      <c r="A203" s="65">
        <v>1927</v>
      </c>
      <c r="B203" s="65" t="s">
        <v>229</v>
      </c>
      <c r="C203" s="65" t="s">
        <v>478</v>
      </c>
      <c r="D203" s="65">
        <v>0</v>
      </c>
      <c r="E203" s="65"/>
      <c r="F203" s="70">
        <v>-626.62</v>
      </c>
      <c r="G203" s="70">
        <v>-14.27</v>
      </c>
      <c r="H203" s="70">
        <v>36.159999999999997</v>
      </c>
      <c r="I203" s="70">
        <v>-0.48</v>
      </c>
      <c r="J203" s="70">
        <v>-21.02</v>
      </c>
      <c r="K203" s="70">
        <v>-7.65</v>
      </c>
      <c r="L203" s="64">
        <f t="shared" si="3"/>
        <v>626.62</v>
      </c>
    </row>
    <row r="204" spans="1:12" x14ac:dyDescent="0.25">
      <c r="A204" s="65">
        <v>40</v>
      </c>
      <c r="B204" s="65" t="s">
        <v>229</v>
      </c>
      <c r="C204" s="65" t="s">
        <v>270</v>
      </c>
      <c r="D204" s="65">
        <v>0</v>
      </c>
      <c r="E204" s="65"/>
      <c r="F204" s="70">
        <v>55.86</v>
      </c>
      <c r="G204" s="70">
        <v>-1.44</v>
      </c>
      <c r="H204" s="70">
        <v>36.14</v>
      </c>
      <c r="I204" s="70">
        <v>-0.21</v>
      </c>
      <c r="J204" s="70">
        <v>20.55</v>
      </c>
      <c r="K204" s="70">
        <v>-0.76</v>
      </c>
      <c r="L204" s="64">
        <f t="shared" si="3"/>
        <v>-55.86</v>
      </c>
    </row>
    <row r="205" spans="1:12" x14ac:dyDescent="0.25">
      <c r="A205" s="65">
        <v>2058</v>
      </c>
      <c r="B205" s="65" t="s">
        <v>229</v>
      </c>
      <c r="C205" s="65" t="s">
        <v>597</v>
      </c>
      <c r="D205" s="65">
        <v>4</v>
      </c>
      <c r="E205" s="65"/>
      <c r="F205" s="70">
        <v>344.41</v>
      </c>
      <c r="G205" s="70">
        <v>-8.98</v>
      </c>
      <c r="H205" s="70">
        <v>36.1</v>
      </c>
      <c r="I205" s="70">
        <v>-0.72</v>
      </c>
      <c r="J205" s="70">
        <v>31.97</v>
      </c>
      <c r="K205" s="70">
        <v>4.2</v>
      </c>
      <c r="L205" s="64">
        <f t="shared" si="3"/>
        <v>-344.41</v>
      </c>
    </row>
    <row r="206" spans="1:12" x14ac:dyDescent="0.25">
      <c r="A206" s="65">
        <v>1996</v>
      </c>
      <c r="B206" s="65" t="s">
        <v>229</v>
      </c>
      <c r="C206" s="65" t="s">
        <v>545</v>
      </c>
      <c r="D206" s="65">
        <v>4</v>
      </c>
      <c r="E206" s="65"/>
      <c r="F206" s="70">
        <v>-624.08000000000004</v>
      </c>
      <c r="G206" s="70">
        <v>-14.26</v>
      </c>
      <c r="H206" s="70">
        <v>35.950000000000003</v>
      </c>
      <c r="I206" s="70">
        <v>-0.48</v>
      </c>
      <c r="J206" s="70">
        <v>-33.840000000000003</v>
      </c>
      <c r="K206" s="70">
        <v>6.45</v>
      </c>
      <c r="L206" s="64">
        <f t="shared" si="3"/>
        <v>624.08000000000004</v>
      </c>
    </row>
    <row r="207" spans="1:12" x14ac:dyDescent="0.25">
      <c r="A207" s="65">
        <v>2265</v>
      </c>
      <c r="B207" s="65" t="s">
        <v>229</v>
      </c>
      <c r="C207" s="65" t="s">
        <v>794</v>
      </c>
      <c r="D207" s="65">
        <v>0</v>
      </c>
      <c r="E207" s="65"/>
      <c r="F207" s="70">
        <v>345.58</v>
      </c>
      <c r="G207" s="70">
        <v>-8.99</v>
      </c>
      <c r="H207" s="70">
        <v>35.85</v>
      </c>
      <c r="I207" s="70">
        <v>-0.72</v>
      </c>
      <c r="J207" s="70">
        <v>49.11</v>
      </c>
      <c r="K207" s="70">
        <v>-4.6900000000000004</v>
      </c>
      <c r="L207" s="64">
        <f t="shared" si="3"/>
        <v>-345.58</v>
      </c>
    </row>
    <row r="208" spans="1:12" x14ac:dyDescent="0.25">
      <c r="A208" s="65">
        <v>2196</v>
      </c>
      <c r="B208" s="65" t="s">
        <v>229</v>
      </c>
      <c r="C208" s="65" t="s">
        <v>729</v>
      </c>
      <c r="D208" s="65">
        <v>4</v>
      </c>
      <c r="E208" s="65"/>
      <c r="F208" s="70">
        <v>344.42</v>
      </c>
      <c r="G208" s="70">
        <v>-8.99</v>
      </c>
      <c r="H208" s="70">
        <v>35.72</v>
      </c>
      <c r="I208" s="70">
        <v>-0.72</v>
      </c>
      <c r="J208" s="70">
        <v>32</v>
      </c>
      <c r="K208" s="70">
        <v>4.21</v>
      </c>
      <c r="L208" s="64">
        <f t="shared" si="3"/>
        <v>-344.42</v>
      </c>
    </row>
    <row r="209" spans="1:12" x14ac:dyDescent="0.25">
      <c r="A209" s="65">
        <v>2544</v>
      </c>
      <c r="B209" s="65" t="s">
        <v>229</v>
      </c>
      <c r="C209" s="65" t="s">
        <v>1065</v>
      </c>
      <c r="D209" s="65">
        <v>4</v>
      </c>
      <c r="E209" s="65"/>
      <c r="F209" s="70">
        <v>-118.83</v>
      </c>
      <c r="G209" s="70">
        <v>-1.6</v>
      </c>
      <c r="H209" s="70">
        <v>35.72</v>
      </c>
      <c r="I209" s="70">
        <v>-0.19</v>
      </c>
      <c r="J209" s="70">
        <v>-20.59</v>
      </c>
      <c r="K209" s="70">
        <v>0.74</v>
      </c>
      <c r="L209" s="64">
        <f t="shared" si="3"/>
        <v>118.83</v>
      </c>
    </row>
    <row r="210" spans="1:12" x14ac:dyDescent="0.25">
      <c r="A210" s="65">
        <v>2264</v>
      </c>
      <c r="B210" s="65" t="s">
        <v>229</v>
      </c>
      <c r="C210" s="65" t="s">
        <v>792</v>
      </c>
      <c r="D210" s="65">
        <v>0</v>
      </c>
      <c r="E210" s="65"/>
      <c r="F210" s="70">
        <v>445.92</v>
      </c>
      <c r="G210" s="70">
        <v>-8.34</v>
      </c>
      <c r="H210" s="70">
        <v>35.630000000000003</v>
      </c>
      <c r="I210" s="70">
        <v>-0.73</v>
      </c>
      <c r="J210" s="70">
        <v>59.85</v>
      </c>
      <c r="K210" s="70">
        <v>-4.3</v>
      </c>
      <c r="L210" s="64">
        <f t="shared" si="3"/>
        <v>-445.92</v>
      </c>
    </row>
    <row r="211" spans="1:12" x14ac:dyDescent="0.25">
      <c r="A211" s="65">
        <v>1909</v>
      </c>
      <c r="B211" s="65" t="s">
        <v>229</v>
      </c>
      <c r="C211" s="65" t="s">
        <v>443</v>
      </c>
      <c r="D211" s="65">
        <v>4</v>
      </c>
      <c r="E211" s="65"/>
      <c r="F211" s="70">
        <v>-445.16</v>
      </c>
      <c r="G211" s="70">
        <v>-13.63</v>
      </c>
      <c r="H211" s="70">
        <v>35.54</v>
      </c>
      <c r="I211" s="70">
        <v>-0.55000000000000004</v>
      </c>
      <c r="J211" s="70">
        <v>-27.23</v>
      </c>
      <c r="K211" s="70">
        <v>7.26</v>
      </c>
      <c r="L211" s="64">
        <f t="shared" si="3"/>
        <v>445.16</v>
      </c>
    </row>
    <row r="212" spans="1:12" x14ac:dyDescent="0.25">
      <c r="A212" s="65">
        <v>2057</v>
      </c>
      <c r="B212" s="65" t="s">
        <v>229</v>
      </c>
      <c r="C212" s="65" t="s">
        <v>595</v>
      </c>
      <c r="D212" s="65">
        <v>4</v>
      </c>
      <c r="E212" s="65"/>
      <c r="F212" s="70">
        <v>445.22</v>
      </c>
      <c r="G212" s="70">
        <v>-8.34</v>
      </c>
      <c r="H212" s="70">
        <v>35.42</v>
      </c>
      <c r="I212" s="70">
        <v>-0.73</v>
      </c>
      <c r="J212" s="70">
        <v>45.71</v>
      </c>
      <c r="K212" s="70">
        <v>3.95</v>
      </c>
      <c r="L212" s="64">
        <f t="shared" si="3"/>
        <v>-445.22</v>
      </c>
    </row>
    <row r="213" spans="1:12" x14ac:dyDescent="0.25">
      <c r="A213" s="65">
        <v>2195</v>
      </c>
      <c r="B213" s="65" t="s">
        <v>229</v>
      </c>
      <c r="C213" s="65" t="s">
        <v>727</v>
      </c>
      <c r="D213" s="65">
        <v>4</v>
      </c>
      <c r="E213" s="65"/>
      <c r="F213" s="70">
        <v>445.23</v>
      </c>
      <c r="G213" s="70">
        <v>-8.34</v>
      </c>
      <c r="H213" s="70">
        <v>35.06</v>
      </c>
      <c r="I213" s="70">
        <v>-0.73</v>
      </c>
      <c r="J213" s="70">
        <v>45.76</v>
      </c>
      <c r="K213" s="70">
        <v>3.96</v>
      </c>
      <c r="L213" s="64">
        <f t="shared" si="3"/>
        <v>-445.23</v>
      </c>
    </row>
    <row r="214" spans="1:12" x14ac:dyDescent="0.25">
      <c r="A214" s="65">
        <v>2543</v>
      </c>
      <c r="B214" s="65" t="s">
        <v>229</v>
      </c>
      <c r="C214" s="65" t="s">
        <v>1062</v>
      </c>
      <c r="D214" s="65">
        <v>0</v>
      </c>
      <c r="E214" s="65"/>
      <c r="F214" s="70">
        <v>55.86</v>
      </c>
      <c r="G214" s="70">
        <v>-1.44</v>
      </c>
      <c r="H214" s="70">
        <v>34.869999999999997</v>
      </c>
      <c r="I214" s="70">
        <v>-0.21</v>
      </c>
      <c r="J214" s="70">
        <v>19.98</v>
      </c>
      <c r="K214" s="70">
        <v>-0.76</v>
      </c>
      <c r="L214" s="64">
        <f t="shared" si="3"/>
        <v>-55.86</v>
      </c>
    </row>
    <row r="215" spans="1:12" x14ac:dyDescent="0.25">
      <c r="A215" s="65">
        <v>2059</v>
      </c>
      <c r="B215" s="65" t="s">
        <v>229</v>
      </c>
      <c r="C215" s="65" t="s">
        <v>599</v>
      </c>
      <c r="D215" s="65">
        <v>4</v>
      </c>
      <c r="E215" s="65"/>
      <c r="F215" s="70">
        <v>223.91</v>
      </c>
      <c r="G215" s="70">
        <v>-9.9</v>
      </c>
      <c r="H215" s="70">
        <v>34.86</v>
      </c>
      <c r="I215" s="70">
        <v>-0.69</v>
      </c>
      <c r="J215" s="70">
        <v>18.57</v>
      </c>
      <c r="K215" s="70">
        <v>4.59</v>
      </c>
      <c r="L215" s="64">
        <f t="shared" si="3"/>
        <v>-223.91</v>
      </c>
    </row>
    <row r="216" spans="1:12" x14ac:dyDescent="0.25">
      <c r="A216" s="65">
        <v>2272</v>
      </c>
      <c r="B216" s="65" t="s">
        <v>229</v>
      </c>
      <c r="C216" s="65" t="s">
        <v>809</v>
      </c>
      <c r="D216" s="65">
        <v>4</v>
      </c>
      <c r="E216" s="65"/>
      <c r="F216" s="70">
        <v>-623.05999999999995</v>
      </c>
      <c r="G216" s="70">
        <v>-14.17</v>
      </c>
      <c r="H216" s="70">
        <v>34.75</v>
      </c>
      <c r="I216" s="70">
        <v>-0.48</v>
      </c>
      <c r="J216" s="70">
        <v>-33.07</v>
      </c>
      <c r="K216" s="70">
        <v>6.41</v>
      </c>
      <c r="L216" s="64">
        <f t="shared" si="3"/>
        <v>623.05999999999995</v>
      </c>
    </row>
    <row r="217" spans="1:12" x14ac:dyDescent="0.25">
      <c r="A217" s="65">
        <v>1986</v>
      </c>
      <c r="B217" s="65" t="s">
        <v>229</v>
      </c>
      <c r="C217" s="65" t="s">
        <v>525</v>
      </c>
      <c r="D217" s="65">
        <v>4</v>
      </c>
      <c r="E217" s="65"/>
      <c r="F217" s="70">
        <v>535.91999999999996</v>
      </c>
      <c r="G217" s="70">
        <v>-7.52</v>
      </c>
      <c r="H217" s="70">
        <v>34.659999999999997</v>
      </c>
      <c r="I217" s="70">
        <v>-0.74</v>
      </c>
      <c r="J217" s="70">
        <v>67.66</v>
      </c>
      <c r="K217" s="70">
        <v>3.74</v>
      </c>
      <c r="L217" s="64">
        <f t="shared" si="3"/>
        <v>-535.91999999999996</v>
      </c>
    </row>
    <row r="218" spans="1:12" x14ac:dyDescent="0.25">
      <c r="A218" s="65">
        <v>1923</v>
      </c>
      <c r="B218" s="65" t="s">
        <v>229</v>
      </c>
      <c r="C218" s="65" t="s">
        <v>470</v>
      </c>
      <c r="D218" s="65">
        <v>0</v>
      </c>
      <c r="E218" s="65"/>
      <c r="F218" s="70">
        <v>-225.82</v>
      </c>
      <c r="G218" s="70">
        <v>-12.07</v>
      </c>
      <c r="H218" s="70">
        <v>34.590000000000003</v>
      </c>
      <c r="I218" s="70">
        <v>-0.63</v>
      </c>
      <c r="J218" s="70">
        <v>-22.72</v>
      </c>
      <c r="K218" s="70">
        <v>-6.4</v>
      </c>
      <c r="L218" s="64">
        <f t="shared" si="3"/>
        <v>225.82</v>
      </c>
    </row>
    <row r="219" spans="1:12" x14ac:dyDescent="0.25">
      <c r="A219" s="65">
        <v>2341</v>
      </c>
      <c r="B219" s="65" t="s">
        <v>229</v>
      </c>
      <c r="C219" s="65" t="s">
        <v>874</v>
      </c>
      <c r="D219" s="65">
        <v>0</v>
      </c>
      <c r="E219" s="65"/>
      <c r="F219" s="70">
        <v>-625.25</v>
      </c>
      <c r="G219" s="70">
        <v>-14.15</v>
      </c>
      <c r="H219" s="70">
        <v>34.479999999999997</v>
      </c>
      <c r="I219" s="70">
        <v>-0.48</v>
      </c>
      <c r="J219" s="70">
        <v>-21.85</v>
      </c>
      <c r="K219" s="70">
        <v>-7.59</v>
      </c>
      <c r="L219" s="64">
        <f t="shared" si="3"/>
        <v>625.25</v>
      </c>
    </row>
    <row r="220" spans="1:12" x14ac:dyDescent="0.25">
      <c r="A220" s="65">
        <v>2197</v>
      </c>
      <c r="B220" s="65" t="s">
        <v>229</v>
      </c>
      <c r="C220" s="65" t="s">
        <v>731</v>
      </c>
      <c r="D220" s="65">
        <v>4</v>
      </c>
      <c r="E220" s="65"/>
      <c r="F220" s="70">
        <v>224.11</v>
      </c>
      <c r="G220" s="70">
        <v>-9.9</v>
      </c>
      <c r="H220" s="70">
        <v>34.409999999999997</v>
      </c>
      <c r="I220" s="70">
        <v>-0.69</v>
      </c>
      <c r="J220" s="70">
        <v>18.59</v>
      </c>
      <c r="K220" s="70">
        <v>4.59</v>
      </c>
      <c r="L220" s="64">
        <f t="shared" si="3"/>
        <v>-224.11</v>
      </c>
    </row>
    <row r="221" spans="1:12" x14ac:dyDescent="0.25">
      <c r="A221" s="65">
        <v>2323</v>
      </c>
      <c r="B221" s="65" t="s">
        <v>229</v>
      </c>
      <c r="C221" s="65" t="s">
        <v>839</v>
      </c>
      <c r="D221" s="65">
        <v>4</v>
      </c>
      <c r="E221" s="65"/>
      <c r="F221" s="70">
        <v>-447.62</v>
      </c>
      <c r="G221" s="70">
        <v>-13.7</v>
      </c>
      <c r="H221" s="70">
        <v>34.24</v>
      </c>
      <c r="I221" s="70">
        <v>-0.55000000000000004</v>
      </c>
      <c r="J221" s="70">
        <v>-26.39</v>
      </c>
      <c r="K221" s="70">
        <v>7.3</v>
      </c>
      <c r="L221" s="64">
        <f t="shared" si="3"/>
        <v>447.62</v>
      </c>
    </row>
    <row r="222" spans="1:12" x14ac:dyDescent="0.25">
      <c r="A222" s="65">
        <v>45</v>
      </c>
      <c r="B222" s="65" t="s">
        <v>229</v>
      </c>
      <c r="C222" s="65" t="s">
        <v>281</v>
      </c>
      <c r="D222" s="65">
        <v>4</v>
      </c>
      <c r="E222" s="65"/>
      <c r="F222" s="70">
        <v>-324.37</v>
      </c>
      <c r="G222" s="70">
        <v>-1.91</v>
      </c>
      <c r="H222" s="70">
        <v>34.049999999999997</v>
      </c>
      <c r="I222" s="70">
        <v>-0.15</v>
      </c>
      <c r="J222" s="70">
        <v>-23.54</v>
      </c>
      <c r="K222" s="70">
        <v>0.86</v>
      </c>
      <c r="L222" s="64">
        <f t="shared" si="3"/>
        <v>324.37</v>
      </c>
    </row>
    <row r="223" spans="1:12" x14ac:dyDescent="0.25">
      <c r="A223" s="65">
        <v>2262</v>
      </c>
      <c r="B223" s="65" t="s">
        <v>229</v>
      </c>
      <c r="C223" s="65" t="s">
        <v>789</v>
      </c>
      <c r="D223" s="65">
        <v>4</v>
      </c>
      <c r="E223" s="65"/>
      <c r="F223" s="70">
        <v>535.91</v>
      </c>
      <c r="G223" s="70">
        <v>-7.52</v>
      </c>
      <c r="H223" s="70">
        <v>34</v>
      </c>
      <c r="I223" s="70">
        <v>-0.74</v>
      </c>
      <c r="J223" s="70">
        <v>67.97</v>
      </c>
      <c r="K223" s="70">
        <v>3.75</v>
      </c>
      <c r="L223" s="64">
        <f t="shared" si="3"/>
        <v>-535.91</v>
      </c>
    </row>
    <row r="224" spans="1:12" x14ac:dyDescent="0.25">
      <c r="A224" s="65">
        <v>20</v>
      </c>
      <c r="B224" s="65" t="s">
        <v>229</v>
      </c>
      <c r="C224" s="65" t="s">
        <v>231</v>
      </c>
      <c r="D224" s="65">
        <v>4</v>
      </c>
      <c r="E224" s="65"/>
      <c r="F224" s="70">
        <v>-366.01</v>
      </c>
      <c r="G224" s="70">
        <v>-0.96</v>
      </c>
      <c r="H224" s="70">
        <v>33.99</v>
      </c>
      <c r="I224" s="70">
        <v>0.04</v>
      </c>
      <c r="J224" s="70">
        <v>-29.54</v>
      </c>
      <c r="K224" s="70">
        <v>0.55000000000000004</v>
      </c>
      <c r="L224" s="64">
        <f t="shared" si="3"/>
        <v>366.01</v>
      </c>
    </row>
    <row r="225" spans="1:12" x14ac:dyDescent="0.25">
      <c r="A225" s="65">
        <v>1910</v>
      </c>
      <c r="B225" s="65" t="s">
        <v>229</v>
      </c>
      <c r="C225" s="65" t="s">
        <v>445</v>
      </c>
      <c r="D225" s="65">
        <v>4</v>
      </c>
      <c r="E225" s="65"/>
      <c r="F225" s="70">
        <v>-341.16</v>
      </c>
      <c r="G225" s="70">
        <v>-12.96</v>
      </c>
      <c r="H225" s="70">
        <v>33.93</v>
      </c>
      <c r="I225" s="70">
        <v>-0.59</v>
      </c>
      <c r="J225" s="70">
        <v>-27.13</v>
      </c>
      <c r="K225" s="70">
        <v>6.89</v>
      </c>
      <c r="L225" s="64">
        <f t="shared" si="3"/>
        <v>341.16</v>
      </c>
    </row>
    <row r="226" spans="1:12" x14ac:dyDescent="0.25">
      <c r="A226" s="65">
        <v>2523</v>
      </c>
      <c r="B226" s="65" t="s">
        <v>229</v>
      </c>
      <c r="C226" s="65" t="s">
        <v>1023</v>
      </c>
      <c r="D226" s="65">
        <v>4</v>
      </c>
      <c r="E226" s="65"/>
      <c r="F226" s="70">
        <v>-366.62</v>
      </c>
      <c r="G226" s="70">
        <v>-0.96</v>
      </c>
      <c r="H226" s="70">
        <v>33.93</v>
      </c>
      <c r="I226" s="70">
        <v>-0.04</v>
      </c>
      <c r="J226" s="70">
        <v>-29.5</v>
      </c>
      <c r="K226" s="70">
        <v>0.55000000000000004</v>
      </c>
      <c r="L226" s="64">
        <f t="shared" si="3"/>
        <v>366.62</v>
      </c>
    </row>
    <row r="227" spans="1:12" x14ac:dyDescent="0.25">
      <c r="A227" s="65">
        <v>1860</v>
      </c>
      <c r="B227" s="65" t="s">
        <v>229</v>
      </c>
      <c r="C227" s="65" t="s">
        <v>417</v>
      </c>
      <c r="D227" s="65">
        <v>4</v>
      </c>
      <c r="E227" s="65"/>
      <c r="F227" s="70">
        <v>-804.54</v>
      </c>
      <c r="G227" s="70">
        <v>-12.92</v>
      </c>
      <c r="H227" s="70">
        <v>33.86</v>
      </c>
      <c r="I227" s="70">
        <v>-0.31</v>
      </c>
      <c r="J227" s="70">
        <v>-46.6</v>
      </c>
      <c r="K227" s="70">
        <v>5.64</v>
      </c>
      <c r="L227" s="64">
        <f t="shared" si="3"/>
        <v>804.54</v>
      </c>
    </row>
    <row r="228" spans="1:12" x14ac:dyDescent="0.25">
      <c r="A228" s="65">
        <v>1990</v>
      </c>
      <c r="B228" s="65" t="s">
        <v>229</v>
      </c>
      <c r="C228" s="65" t="s">
        <v>532</v>
      </c>
      <c r="D228" s="65">
        <v>0</v>
      </c>
      <c r="E228" s="65"/>
      <c r="F228" s="70">
        <v>225.67</v>
      </c>
      <c r="G228" s="70">
        <v>-9.9</v>
      </c>
      <c r="H228" s="70">
        <v>33.82</v>
      </c>
      <c r="I228" s="70">
        <v>-0.69</v>
      </c>
      <c r="J228" s="70">
        <v>35.840000000000003</v>
      </c>
      <c r="K228" s="70">
        <v>-5.21</v>
      </c>
      <c r="L228" s="64">
        <f t="shared" si="3"/>
        <v>-225.67</v>
      </c>
    </row>
    <row r="229" spans="1:12" x14ac:dyDescent="0.25">
      <c r="A229" s="65">
        <v>42</v>
      </c>
      <c r="B229" s="65" t="s">
        <v>229</v>
      </c>
      <c r="C229" s="65" t="s">
        <v>275</v>
      </c>
      <c r="D229" s="65">
        <v>4</v>
      </c>
      <c r="E229" s="65"/>
      <c r="F229" s="70">
        <v>-180.79</v>
      </c>
      <c r="G229" s="70">
        <v>-1.74</v>
      </c>
      <c r="H229" s="70">
        <v>33.67</v>
      </c>
      <c r="I229" s="70">
        <v>-0.18</v>
      </c>
      <c r="J229" s="70">
        <v>-21.23</v>
      </c>
      <c r="K229" s="70">
        <v>0.8</v>
      </c>
      <c r="L229" s="64">
        <f t="shared" si="3"/>
        <v>180.79</v>
      </c>
    </row>
    <row r="230" spans="1:12" x14ac:dyDescent="0.25">
      <c r="A230" s="65">
        <v>2337</v>
      </c>
      <c r="B230" s="65" t="s">
        <v>229</v>
      </c>
      <c r="C230" s="65" t="s">
        <v>866</v>
      </c>
      <c r="D230" s="65">
        <v>0</v>
      </c>
      <c r="E230" s="65"/>
      <c r="F230" s="70">
        <v>-223.36</v>
      </c>
      <c r="G230" s="70">
        <v>-12.03</v>
      </c>
      <c r="H230" s="70">
        <v>33.299999999999997</v>
      </c>
      <c r="I230" s="70">
        <v>-0.63</v>
      </c>
      <c r="J230" s="70">
        <v>-23.54</v>
      </c>
      <c r="K230" s="70">
        <v>-6.38</v>
      </c>
      <c r="L230" s="64">
        <f t="shared" si="3"/>
        <v>223.36</v>
      </c>
    </row>
    <row r="231" spans="1:12" x14ac:dyDescent="0.25">
      <c r="A231" s="65">
        <v>20</v>
      </c>
      <c r="B231" s="65" t="s">
        <v>229</v>
      </c>
      <c r="C231" s="65" t="s">
        <v>230</v>
      </c>
      <c r="D231" s="65">
        <v>0</v>
      </c>
      <c r="E231" s="65"/>
      <c r="F231" s="69">
        <v>-370.56</v>
      </c>
      <c r="G231" s="69">
        <v>-0.96</v>
      </c>
      <c r="H231" s="69">
        <v>33.28</v>
      </c>
      <c r="I231" s="69">
        <v>0.04</v>
      </c>
      <c r="J231" s="69">
        <v>4.1399999999999997</v>
      </c>
      <c r="K231" s="69">
        <v>-0.43</v>
      </c>
      <c r="L231" s="64">
        <f t="shared" si="3"/>
        <v>370.56</v>
      </c>
    </row>
    <row r="232" spans="1:12" x14ac:dyDescent="0.25">
      <c r="A232" s="65">
        <v>2412</v>
      </c>
      <c r="B232" s="65" t="s">
        <v>229</v>
      </c>
      <c r="C232" s="65" t="s">
        <v>945</v>
      </c>
      <c r="D232" s="65">
        <v>4</v>
      </c>
      <c r="E232" s="65"/>
      <c r="F232" s="70">
        <v>-803.54</v>
      </c>
      <c r="G232" s="70">
        <v>-12.7</v>
      </c>
      <c r="H232" s="70">
        <v>33.28</v>
      </c>
      <c r="I232" s="70">
        <v>-0.31</v>
      </c>
      <c r="J232" s="70">
        <v>-45.98</v>
      </c>
      <c r="K232" s="70">
        <v>5.55</v>
      </c>
      <c r="L232" s="64">
        <f t="shared" si="3"/>
        <v>803.54</v>
      </c>
    </row>
    <row r="233" spans="1:12" x14ac:dyDescent="0.25">
      <c r="A233" s="65">
        <v>1792</v>
      </c>
      <c r="B233" s="65" t="s">
        <v>229</v>
      </c>
      <c r="C233" s="65" t="s">
        <v>353</v>
      </c>
      <c r="D233" s="65">
        <v>4</v>
      </c>
      <c r="E233" s="65"/>
      <c r="F233" s="70">
        <v>-858.48</v>
      </c>
      <c r="G233" s="70">
        <v>-11.34</v>
      </c>
      <c r="H233" s="70">
        <v>33.24</v>
      </c>
      <c r="I233" s="70">
        <v>-0.22</v>
      </c>
      <c r="J233" s="70">
        <v>-56.66</v>
      </c>
      <c r="K233" s="70">
        <v>4.97</v>
      </c>
      <c r="L233" s="64">
        <f t="shared" si="3"/>
        <v>858.48</v>
      </c>
    </row>
    <row r="234" spans="1:12" x14ac:dyDescent="0.25">
      <c r="A234" s="65">
        <v>2523</v>
      </c>
      <c r="B234" s="65" t="s">
        <v>229</v>
      </c>
      <c r="C234" s="65" t="s">
        <v>1022</v>
      </c>
      <c r="D234" s="65">
        <v>0</v>
      </c>
      <c r="E234" s="65"/>
      <c r="F234" s="70">
        <v>-371.17</v>
      </c>
      <c r="G234" s="70">
        <v>-0.96</v>
      </c>
      <c r="H234" s="70">
        <v>33.22</v>
      </c>
      <c r="I234" s="70">
        <v>-0.04</v>
      </c>
      <c r="J234" s="70">
        <v>4.2300000000000004</v>
      </c>
      <c r="K234" s="70">
        <v>-0.43</v>
      </c>
      <c r="L234" s="64">
        <f t="shared" si="3"/>
        <v>371.17</v>
      </c>
    </row>
    <row r="235" spans="1:12" x14ac:dyDescent="0.25">
      <c r="A235" s="65">
        <v>1791</v>
      </c>
      <c r="B235" s="65" t="s">
        <v>229</v>
      </c>
      <c r="C235" s="65" t="s">
        <v>350</v>
      </c>
      <c r="D235" s="65">
        <v>0</v>
      </c>
      <c r="E235" s="65"/>
      <c r="F235" s="70">
        <v>-806.4</v>
      </c>
      <c r="G235" s="70">
        <v>-12.92</v>
      </c>
      <c r="H235" s="70">
        <v>33.020000000000003</v>
      </c>
      <c r="I235" s="70">
        <v>-0.31</v>
      </c>
      <c r="J235" s="70">
        <v>-41.37</v>
      </c>
      <c r="K235" s="70">
        <v>-7.12</v>
      </c>
      <c r="L235" s="64">
        <f t="shared" si="3"/>
        <v>806.4</v>
      </c>
    </row>
    <row r="236" spans="1:12" x14ac:dyDescent="0.25">
      <c r="A236" s="65">
        <v>1992</v>
      </c>
      <c r="B236" s="65" t="s">
        <v>229</v>
      </c>
      <c r="C236" s="65" t="s">
        <v>537</v>
      </c>
      <c r="D236" s="65">
        <v>4</v>
      </c>
      <c r="E236" s="65"/>
      <c r="F236" s="70">
        <v>-223.18</v>
      </c>
      <c r="G236" s="70">
        <v>-12.06</v>
      </c>
      <c r="H236" s="70">
        <v>33.020000000000003</v>
      </c>
      <c r="I236" s="70">
        <v>-0.63</v>
      </c>
      <c r="J236" s="70">
        <v>-23.07</v>
      </c>
      <c r="K236" s="70">
        <v>5.54</v>
      </c>
      <c r="L236" s="64">
        <f t="shared" si="3"/>
        <v>223.18</v>
      </c>
    </row>
    <row r="237" spans="1:12" x14ac:dyDescent="0.25">
      <c r="A237" s="65">
        <v>2266</v>
      </c>
      <c r="B237" s="65" t="s">
        <v>229</v>
      </c>
      <c r="C237" s="65" t="s">
        <v>796</v>
      </c>
      <c r="D237" s="65">
        <v>0</v>
      </c>
      <c r="E237" s="65"/>
      <c r="F237" s="70">
        <v>226.2</v>
      </c>
      <c r="G237" s="70">
        <v>-9.9</v>
      </c>
      <c r="H237" s="70">
        <v>33.01</v>
      </c>
      <c r="I237" s="70">
        <v>-0.69</v>
      </c>
      <c r="J237" s="70">
        <v>35.65</v>
      </c>
      <c r="K237" s="70">
        <v>-5.21</v>
      </c>
      <c r="L237" s="64">
        <f t="shared" si="3"/>
        <v>-226.2</v>
      </c>
    </row>
    <row r="238" spans="1:12" x14ac:dyDescent="0.25">
      <c r="A238" s="65">
        <v>2482</v>
      </c>
      <c r="B238" s="65" t="s">
        <v>229</v>
      </c>
      <c r="C238" s="65" t="s">
        <v>1013</v>
      </c>
      <c r="D238" s="65">
        <v>4</v>
      </c>
      <c r="E238" s="65"/>
      <c r="F238" s="70">
        <v>-857.42</v>
      </c>
      <c r="G238" s="70">
        <v>-11.17</v>
      </c>
      <c r="H238" s="70">
        <v>32.909999999999997</v>
      </c>
      <c r="I238" s="70">
        <v>-0.21</v>
      </c>
      <c r="J238" s="70">
        <v>-56.27</v>
      </c>
      <c r="K238" s="70">
        <v>4.9000000000000004</v>
      </c>
      <c r="L238" s="64">
        <f t="shared" si="3"/>
        <v>857.42</v>
      </c>
    </row>
    <row r="239" spans="1:12" x14ac:dyDescent="0.25">
      <c r="A239" s="65">
        <v>2324</v>
      </c>
      <c r="B239" s="65" t="s">
        <v>229</v>
      </c>
      <c r="C239" s="65" t="s">
        <v>841</v>
      </c>
      <c r="D239" s="65">
        <v>4</v>
      </c>
      <c r="E239" s="65"/>
      <c r="F239" s="70">
        <v>-344.31</v>
      </c>
      <c r="G239" s="70">
        <v>-13.01</v>
      </c>
      <c r="H239" s="70">
        <v>32.659999999999997</v>
      </c>
      <c r="I239" s="70">
        <v>-0.59</v>
      </c>
      <c r="J239" s="70">
        <v>-26.28</v>
      </c>
      <c r="K239" s="70">
        <v>6.92</v>
      </c>
      <c r="L239" s="64">
        <f t="shared" si="3"/>
        <v>344.31</v>
      </c>
    </row>
    <row r="240" spans="1:12" x14ac:dyDescent="0.25">
      <c r="A240" s="65">
        <v>2548</v>
      </c>
      <c r="B240" s="65" t="s">
        <v>229</v>
      </c>
      <c r="C240" s="65" t="s">
        <v>1073</v>
      </c>
      <c r="D240" s="65">
        <v>4</v>
      </c>
      <c r="E240" s="65"/>
      <c r="F240" s="70">
        <v>-323.18</v>
      </c>
      <c r="G240" s="70">
        <v>-1.89</v>
      </c>
      <c r="H240" s="70">
        <v>32.6</v>
      </c>
      <c r="I240" s="70">
        <v>-0.15</v>
      </c>
      <c r="J240" s="70">
        <v>-22.73</v>
      </c>
      <c r="K240" s="70">
        <v>0.85</v>
      </c>
      <c r="L240" s="64">
        <f t="shared" si="3"/>
        <v>323.18</v>
      </c>
    </row>
    <row r="241" spans="1:12" x14ac:dyDescent="0.25">
      <c r="A241" s="65">
        <v>41</v>
      </c>
      <c r="B241" s="65" t="s">
        <v>229</v>
      </c>
      <c r="C241" s="65" t="s">
        <v>272</v>
      </c>
      <c r="D241" s="65">
        <v>0</v>
      </c>
      <c r="E241" s="65"/>
      <c r="F241" s="70">
        <v>-119.7</v>
      </c>
      <c r="G241" s="70">
        <v>-1.61</v>
      </c>
      <c r="H241" s="70">
        <v>32.520000000000003</v>
      </c>
      <c r="I241" s="70">
        <v>-0.19</v>
      </c>
      <c r="J241" s="70">
        <v>-18.25</v>
      </c>
      <c r="K241" s="70">
        <v>-0.86</v>
      </c>
      <c r="L241" s="64">
        <f t="shared" si="3"/>
        <v>119.7</v>
      </c>
    </row>
    <row r="242" spans="1:12" x14ac:dyDescent="0.25">
      <c r="A242" s="65">
        <v>1908</v>
      </c>
      <c r="B242" s="65" t="s">
        <v>229</v>
      </c>
      <c r="C242" s="65" t="s">
        <v>441</v>
      </c>
      <c r="D242" s="65">
        <v>4</v>
      </c>
      <c r="E242" s="65"/>
      <c r="F242" s="70">
        <v>-539.6</v>
      </c>
      <c r="G242" s="70">
        <v>-14.11</v>
      </c>
      <c r="H242" s="70">
        <v>32.49</v>
      </c>
      <c r="I242" s="70">
        <v>-0.51</v>
      </c>
      <c r="J242" s="70">
        <v>-23.81</v>
      </c>
      <c r="K242" s="70">
        <v>7.53</v>
      </c>
      <c r="L242" s="64">
        <f t="shared" si="3"/>
        <v>539.6</v>
      </c>
    </row>
    <row r="243" spans="1:12" x14ac:dyDescent="0.25">
      <c r="A243" s="65">
        <v>2545</v>
      </c>
      <c r="B243" s="65" t="s">
        <v>229</v>
      </c>
      <c r="C243" s="65" t="s">
        <v>1067</v>
      </c>
      <c r="D243" s="65">
        <v>4</v>
      </c>
      <c r="E243" s="65"/>
      <c r="F243" s="70">
        <v>-178.32</v>
      </c>
      <c r="G243" s="70">
        <v>-1.73</v>
      </c>
      <c r="H243" s="70">
        <v>32.369999999999997</v>
      </c>
      <c r="I243" s="70">
        <v>-0.18</v>
      </c>
      <c r="J243" s="70">
        <v>-20.45</v>
      </c>
      <c r="K243" s="70">
        <v>0.79</v>
      </c>
      <c r="L243" s="64">
        <f t="shared" si="3"/>
        <v>178.32</v>
      </c>
    </row>
    <row r="244" spans="1:12" x14ac:dyDescent="0.25">
      <c r="A244" s="65">
        <v>2481</v>
      </c>
      <c r="B244" s="65" t="s">
        <v>229</v>
      </c>
      <c r="C244" s="65" t="s">
        <v>1010</v>
      </c>
      <c r="D244" s="65">
        <v>0</v>
      </c>
      <c r="E244" s="65"/>
      <c r="F244" s="70">
        <v>-805.1</v>
      </c>
      <c r="G244" s="70">
        <v>-12.69</v>
      </c>
      <c r="H244" s="70">
        <v>32.26</v>
      </c>
      <c r="I244" s="70">
        <v>-0.31</v>
      </c>
      <c r="J244" s="70">
        <v>-41.97</v>
      </c>
      <c r="K244" s="70">
        <v>-7</v>
      </c>
      <c r="L244" s="64">
        <f t="shared" si="3"/>
        <v>805.1</v>
      </c>
    </row>
    <row r="245" spans="1:12" x14ac:dyDescent="0.25">
      <c r="A245" s="65">
        <v>1925</v>
      </c>
      <c r="B245" s="65" t="s">
        <v>229</v>
      </c>
      <c r="C245" s="65" t="s">
        <v>475</v>
      </c>
      <c r="D245" s="65">
        <v>4</v>
      </c>
      <c r="E245" s="65"/>
      <c r="F245" s="70">
        <v>-450.24</v>
      </c>
      <c r="G245" s="70">
        <v>-13.72</v>
      </c>
      <c r="H245" s="70">
        <v>32.19</v>
      </c>
      <c r="I245" s="70">
        <v>-0.55000000000000004</v>
      </c>
      <c r="J245" s="70">
        <v>-24.94</v>
      </c>
      <c r="K245" s="70">
        <v>6.27</v>
      </c>
      <c r="L245" s="64">
        <f t="shared" si="3"/>
        <v>450.24</v>
      </c>
    </row>
    <row r="246" spans="1:12" x14ac:dyDescent="0.25">
      <c r="A246" s="65">
        <v>1928</v>
      </c>
      <c r="B246" s="65" t="s">
        <v>229</v>
      </c>
      <c r="C246" s="65" t="s">
        <v>481</v>
      </c>
      <c r="D246" s="65">
        <v>4</v>
      </c>
      <c r="E246" s="65"/>
      <c r="F246" s="70">
        <v>-721.74</v>
      </c>
      <c r="G246" s="70">
        <v>-13.91</v>
      </c>
      <c r="H246" s="70">
        <v>32.15</v>
      </c>
      <c r="I246" s="70">
        <v>-0.41</v>
      </c>
      <c r="J246" s="70">
        <v>-39.979999999999997</v>
      </c>
      <c r="K246" s="70">
        <v>6.19</v>
      </c>
      <c r="L246" s="64">
        <f t="shared" si="3"/>
        <v>721.74</v>
      </c>
    </row>
    <row r="247" spans="1:12" x14ac:dyDescent="0.25">
      <c r="A247" s="65">
        <v>1987</v>
      </c>
      <c r="B247" s="65" t="s">
        <v>229</v>
      </c>
      <c r="C247" s="65" t="s">
        <v>526</v>
      </c>
      <c r="D247" s="65">
        <v>0</v>
      </c>
      <c r="E247" s="65"/>
      <c r="F247" s="70">
        <v>511.21</v>
      </c>
      <c r="G247" s="70">
        <v>-7.79</v>
      </c>
      <c r="H247" s="70">
        <v>32.130000000000003</v>
      </c>
      <c r="I247" s="70">
        <v>-0.74</v>
      </c>
      <c r="J247" s="70">
        <v>67.209999999999994</v>
      </c>
      <c r="K247" s="70">
        <v>-3.95</v>
      </c>
      <c r="L247" s="64">
        <f t="shared" si="3"/>
        <v>-511.21</v>
      </c>
    </row>
    <row r="248" spans="1:12" x14ac:dyDescent="0.25">
      <c r="A248" s="65">
        <v>2268</v>
      </c>
      <c r="B248" s="65" t="s">
        <v>229</v>
      </c>
      <c r="C248" s="65" t="s">
        <v>801</v>
      </c>
      <c r="D248" s="65">
        <v>4</v>
      </c>
      <c r="E248" s="65"/>
      <c r="F248" s="70">
        <v>-221.3</v>
      </c>
      <c r="G248" s="70">
        <v>-12.03</v>
      </c>
      <c r="H248" s="70">
        <v>32.06</v>
      </c>
      <c r="I248" s="70">
        <v>-0.63</v>
      </c>
      <c r="J248" s="70">
        <v>-22.48</v>
      </c>
      <c r="K248" s="70">
        <v>5.52</v>
      </c>
      <c r="L248" s="64">
        <f t="shared" si="3"/>
        <v>221.3</v>
      </c>
    </row>
    <row r="249" spans="1:12" x14ac:dyDescent="0.25">
      <c r="A249" s="65">
        <v>1859</v>
      </c>
      <c r="B249" s="65" t="s">
        <v>229</v>
      </c>
      <c r="C249" s="65" t="s">
        <v>414</v>
      </c>
      <c r="D249" s="65">
        <v>0</v>
      </c>
      <c r="E249" s="65"/>
      <c r="F249" s="70">
        <v>-724.01</v>
      </c>
      <c r="G249" s="70">
        <v>-13.92</v>
      </c>
      <c r="H249" s="70">
        <v>31.86</v>
      </c>
      <c r="I249" s="70">
        <v>-0.41</v>
      </c>
      <c r="J249" s="70">
        <v>-36.770000000000003</v>
      </c>
      <c r="K249" s="70">
        <v>-7.56</v>
      </c>
      <c r="L249" s="64">
        <f t="shared" si="3"/>
        <v>724.01</v>
      </c>
    </row>
    <row r="250" spans="1:12" x14ac:dyDescent="0.25">
      <c r="A250" s="65">
        <v>2263</v>
      </c>
      <c r="B250" s="65" t="s">
        <v>229</v>
      </c>
      <c r="C250" s="65" t="s">
        <v>790</v>
      </c>
      <c r="D250" s="65">
        <v>0</v>
      </c>
      <c r="E250" s="65"/>
      <c r="F250" s="70">
        <v>511.22</v>
      </c>
      <c r="G250" s="70">
        <v>-7.79</v>
      </c>
      <c r="H250" s="70">
        <v>31.42</v>
      </c>
      <c r="I250" s="70">
        <v>-0.74</v>
      </c>
      <c r="J250" s="70">
        <v>66.89</v>
      </c>
      <c r="K250" s="70">
        <v>-3.95</v>
      </c>
      <c r="L250" s="64">
        <f t="shared" si="3"/>
        <v>-511.22</v>
      </c>
    </row>
    <row r="251" spans="1:12" x14ac:dyDescent="0.25">
      <c r="A251" s="65">
        <v>2342</v>
      </c>
      <c r="B251" s="65" t="s">
        <v>229</v>
      </c>
      <c r="C251" s="65" t="s">
        <v>877</v>
      </c>
      <c r="D251" s="65">
        <v>4</v>
      </c>
      <c r="E251" s="65"/>
      <c r="F251" s="70">
        <v>-720.87</v>
      </c>
      <c r="G251" s="70">
        <v>-13.73</v>
      </c>
      <c r="H251" s="70">
        <v>31.41</v>
      </c>
      <c r="I251" s="70">
        <v>-0.41</v>
      </c>
      <c r="J251" s="70">
        <v>-39.17</v>
      </c>
      <c r="K251" s="70">
        <v>6.1</v>
      </c>
      <c r="L251" s="64">
        <f t="shared" si="3"/>
        <v>720.87</v>
      </c>
    </row>
    <row r="252" spans="1:12" x14ac:dyDescent="0.25">
      <c r="A252" s="65">
        <v>2322</v>
      </c>
      <c r="B252" s="65" t="s">
        <v>229</v>
      </c>
      <c r="C252" s="65" t="s">
        <v>837</v>
      </c>
      <c r="D252" s="65">
        <v>4</v>
      </c>
      <c r="E252" s="65"/>
      <c r="F252" s="70">
        <v>-541.52</v>
      </c>
      <c r="G252" s="70">
        <v>-14.21</v>
      </c>
      <c r="H252" s="70">
        <v>31.34</v>
      </c>
      <c r="I252" s="70">
        <v>-0.51</v>
      </c>
      <c r="J252" s="70">
        <v>-23.03</v>
      </c>
      <c r="K252" s="70">
        <v>7.58</v>
      </c>
      <c r="L252" s="64">
        <f t="shared" si="3"/>
        <v>541.52</v>
      </c>
    </row>
    <row r="253" spans="1:12" x14ac:dyDescent="0.25">
      <c r="A253" s="65">
        <v>2056</v>
      </c>
      <c r="B253" s="65" t="s">
        <v>229</v>
      </c>
      <c r="C253" s="65" t="s">
        <v>593</v>
      </c>
      <c r="D253" s="65">
        <v>4</v>
      </c>
      <c r="E253" s="65"/>
      <c r="F253" s="70">
        <v>510.09</v>
      </c>
      <c r="G253" s="70">
        <v>-7.79</v>
      </c>
      <c r="H253" s="70">
        <v>31.28</v>
      </c>
      <c r="I253" s="70">
        <v>-0.74</v>
      </c>
      <c r="J253" s="70">
        <v>57.07</v>
      </c>
      <c r="K253" s="70">
        <v>3.76</v>
      </c>
      <c r="L253" s="64">
        <f t="shared" si="3"/>
        <v>-510.09</v>
      </c>
    </row>
    <row r="254" spans="1:12" x14ac:dyDescent="0.25">
      <c r="A254" s="65">
        <v>2544</v>
      </c>
      <c r="B254" s="65" t="s">
        <v>229</v>
      </c>
      <c r="C254" s="65" t="s">
        <v>1064</v>
      </c>
      <c r="D254" s="65">
        <v>0</v>
      </c>
      <c r="E254" s="65"/>
      <c r="F254" s="70">
        <v>-117.7</v>
      </c>
      <c r="G254" s="70">
        <v>-1.6</v>
      </c>
      <c r="H254" s="70">
        <v>31.24</v>
      </c>
      <c r="I254" s="70">
        <v>-0.19</v>
      </c>
      <c r="J254" s="70">
        <v>-18.95</v>
      </c>
      <c r="K254" s="70">
        <v>-0.85</v>
      </c>
      <c r="L254" s="64">
        <f t="shared" si="3"/>
        <v>117.7</v>
      </c>
    </row>
    <row r="255" spans="1:12" x14ac:dyDescent="0.25">
      <c r="A255" s="65">
        <v>28</v>
      </c>
      <c r="B255" s="65" t="s">
        <v>229</v>
      </c>
      <c r="C255" s="65" t="s">
        <v>247</v>
      </c>
      <c r="D255" s="65">
        <v>4</v>
      </c>
      <c r="E255" s="65"/>
      <c r="F255" s="70">
        <v>-177.3</v>
      </c>
      <c r="G255" s="70">
        <v>-1.73</v>
      </c>
      <c r="H255" s="70">
        <v>31.16</v>
      </c>
      <c r="I255" s="70">
        <v>-0.18</v>
      </c>
      <c r="J255" s="70">
        <v>-20.3</v>
      </c>
      <c r="K255" s="70">
        <v>0.92</v>
      </c>
      <c r="L255" s="64">
        <f t="shared" si="3"/>
        <v>177.3</v>
      </c>
    </row>
    <row r="256" spans="1:12" x14ac:dyDescent="0.25">
      <c r="A256" s="65">
        <v>1926</v>
      </c>
      <c r="B256" s="65" t="s">
        <v>229</v>
      </c>
      <c r="C256" s="65" t="s">
        <v>477</v>
      </c>
      <c r="D256" s="65">
        <v>4</v>
      </c>
      <c r="E256" s="65"/>
      <c r="F256" s="70">
        <v>-544.29</v>
      </c>
      <c r="G256" s="70">
        <v>-14.19</v>
      </c>
      <c r="H256" s="70">
        <v>31.03</v>
      </c>
      <c r="I256" s="70">
        <v>-0.51</v>
      </c>
      <c r="J256" s="70">
        <v>-22.87</v>
      </c>
      <c r="K256" s="70">
        <v>6.47</v>
      </c>
      <c r="L256" s="64">
        <f t="shared" si="3"/>
        <v>544.29</v>
      </c>
    </row>
    <row r="257" spans="1:12" x14ac:dyDescent="0.25">
      <c r="A257" s="65">
        <v>2194</v>
      </c>
      <c r="B257" s="65" t="s">
        <v>229</v>
      </c>
      <c r="C257" s="65" t="s">
        <v>725</v>
      </c>
      <c r="D257" s="65">
        <v>4</v>
      </c>
      <c r="E257" s="65"/>
      <c r="F257" s="70">
        <v>510.09</v>
      </c>
      <c r="G257" s="70">
        <v>-7.79</v>
      </c>
      <c r="H257" s="70">
        <v>30.95</v>
      </c>
      <c r="I257" s="70">
        <v>-0.74</v>
      </c>
      <c r="J257" s="70">
        <v>57.14</v>
      </c>
      <c r="K257" s="70">
        <v>3.76</v>
      </c>
      <c r="L257" s="64">
        <f t="shared" si="3"/>
        <v>-510.09</v>
      </c>
    </row>
    <row r="258" spans="1:12" x14ac:dyDescent="0.25">
      <c r="A258" s="65">
        <v>2060</v>
      </c>
      <c r="B258" s="65" t="s">
        <v>229</v>
      </c>
      <c r="C258" s="65" t="s">
        <v>601</v>
      </c>
      <c r="D258" s="65">
        <v>4</v>
      </c>
      <c r="E258" s="65"/>
      <c r="F258" s="70">
        <v>108.84</v>
      </c>
      <c r="G258" s="70">
        <v>-10.77</v>
      </c>
      <c r="H258" s="70">
        <v>30.9</v>
      </c>
      <c r="I258" s="70">
        <v>-0.67</v>
      </c>
      <c r="J258" s="70">
        <v>-15.94</v>
      </c>
      <c r="K258" s="70">
        <v>4.96</v>
      </c>
      <c r="L258" s="64">
        <f t="shared" si="3"/>
        <v>-108.84</v>
      </c>
    </row>
    <row r="259" spans="1:12" x14ac:dyDescent="0.25">
      <c r="A259" s="65">
        <v>27</v>
      </c>
      <c r="B259" s="65" t="s">
        <v>229</v>
      </c>
      <c r="C259" s="65" t="s">
        <v>245</v>
      </c>
      <c r="D259" s="65">
        <v>4</v>
      </c>
      <c r="E259" s="65"/>
      <c r="F259" s="70">
        <v>-229.76</v>
      </c>
      <c r="G259" s="70">
        <v>-1.82</v>
      </c>
      <c r="H259" s="70">
        <v>30.85</v>
      </c>
      <c r="I259" s="70">
        <v>-0.17</v>
      </c>
      <c r="J259" s="70">
        <v>-19.98</v>
      </c>
      <c r="K259" s="70">
        <v>0.97</v>
      </c>
      <c r="L259" s="64">
        <f t="shared" ref="L259:L322" si="4">F259*-1</f>
        <v>229.76</v>
      </c>
    </row>
    <row r="260" spans="1:12" x14ac:dyDescent="0.25">
      <c r="A260" s="65">
        <v>2339</v>
      </c>
      <c r="B260" s="65" t="s">
        <v>229</v>
      </c>
      <c r="C260" s="65" t="s">
        <v>871</v>
      </c>
      <c r="D260" s="65">
        <v>4</v>
      </c>
      <c r="E260" s="65"/>
      <c r="F260" s="70">
        <v>-447.65</v>
      </c>
      <c r="G260" s="70">
        <v>-13.64</v>
      </c>
      <c r="H260" s="70">
        <v>30.85</v>
      </c>
      <c r="I260" s="70">
        <v>-0.55000000000000004</v>
      </c>
      <c r="J260" s="70">
        <v>-24.16</v>
      </c>
      <c r="K260" s="70">
        <v>6.23</v>
      </c>
      <c r="L260" s="64">
        <f t="shared" si="4"/>
        <v>447.65</v>
      </c>
    </row>
    <row r="261" spans="1:12" x14ac:dyDescent="0.25">
      <c r="A261" s="65">
        <v>2411</v>
      </c>
      <c r="B261" s="65" t="s">
        <v>229</v>
      </c>
      <c r="C261" s="65" t="s">
        <v>942</v>
      </c>
      <c r="D261" s="65">
        <v>0</v>
      </c>
      <c r="E261" s="65"/>
      <c r="F261" s="70">
        <v>-722.82</v>
      </c>
      <c r="G261" s="70">
        <v>-13.71</v>
      </c>
      <c r="H261" s="70">
        <v>30.84</v>
      </c>
      <c r="I261" s="70">
        <v>-0.41</v>
      </c>
      <c r="J261" s="70">
        <v>-37.72</v>
      </c>
      <c r="K261" s="70">
        <v>-7.45</v>
      </c>
      <c r="L261" s="64">
        <f t="shared" si="4"/>
        <v>722.82</v>
      </c>
    </row>
    <row r="262" spans="1:12" x14ac:dyDescent="0.25">
      <c r="A262" s="65">
        <v>2198</v>
      </c>
      <c r="B262" s="65" t="s">
        <v>229</v>
      </c>
      <c r="C262" s="65" t="s">
        <v>733</v>
      </c>
      <c r="D262" s="65">
        <v>4</v>
      </c>
      <c r="E262" s="65"/>
      <c r="F262" s="70">
        <v>108.8</v>
      </c>
      <c r="G262" s="70">
        <v>-10.77</v>
      </c>
      <c r="H262" s="70">
        <v>30.41</v>
      </c>
      <c r="I262" s="70">
        <v>-0.67</v>
      </c>
      <c r="J262" s="70">
        <v>-15.63</v>
      </c>
      <c r="K262" s="70">
        <v>4.96</v>
      </c>
      <c r="L262" s="64">
        <f t="shared" si="4"/>
        <v>-108.8</v>
      </c>
    </row>
    <row r="263" spans="1:12" x14ac:dyDescent="0.25">
      <c r="A263" s="65">
        <v>1991</v>
      </c>
      <c r="B263" s="65" t="s">
        <v>229</v>
      </c>
      <c r="C263" s="65" t="s">
        <v>534</v>
      </c>
      <c r="D263" s="65">
        <v>0</v>
      </c>
      <c r="E263" s="65"/>
      <c r="F263" s="70">
        <v>110.94</v>
      </c>
      <c r="G263" s="70">
        <v>-10.77</v>
      </c>
      <c r="H263" s="70">
        <v>30</v>
      </c>
      <c r="I263" s="70">
        <v>-0.67</v>
      </c>
      <c r="J263" s="70">
        <v>22.89</v>
      </c>
      <c r="K263" s="70">
        <v>-5.7</v>
      </c>
      <c r="L263" s="64">
        <f t="shared" si="4"/>
        <v>-110.94</v>
      </c>
    </row>
    <row r="264" spans="1:12" x14ac:dyDescent="0.25">
      <c r="A264" s="65">
        <v>45</v>
      </c>
      <c r="B264" s="65" t="s">
        <v>229</v>
      </c>
      <c r="C264" s="65" t="s">
        <v>280</v>
      </c>
      <c r="D264" s="65">
        <v>0</v>
      </c>
      <c r="E264" s="65"/>
      <c r="F264" s="70">
        <v>-322.42</v>
      </c>
      <c r="G264" s="70">
        <v>-1.91</v>
      </c>
      <c r="H264" s="70">
        <v>29.87</v>
      </c>
      <c r="I264" s="70">
        <v>-0.15</v>
      </c>
      <c r="J264" s="70">
        <v>-15.91</v>
      </c>
      <c r="K264" s="70">
        <v>-1.02</v>
      </c>
      <c r="L264" s="64">
        <f t="shared" si="4"/>
        <v>322.42</v>
      </c>
    </row>
    <row r="265" spans="1:12" x14ac:dyDescent="0.25">
      <c r="A265" s="65">
        <v>2531</v>
      </c>
      <c r="B265" s="65" t="s">
        <v>229</v>
      </c>
      <c r="C265" s="65" t="s">
        <v>1039</v>
      </c>
      <c r="D265" s="65">
        <v>4</v>
      </c>
      <c r="E265" s="65"/>
      <c r="F265" s="70">
        <v>-179.74</v>
      </c>
      <c r="G265" s="70">
        <v>-1.74</v>
      </c>
      <c r="H265" s="70">
        <v>29.79</v>
      </c>
      <c r="I265" s="70">
        <v>-0.18</v>
      </c>
      <c r="J265" s="70">
        <v>-19.600000000000001</v>
      </c>
      <c r="K265" s="70">
        <v>0.93</v>
      </c>
      <c r="L265" s="64">
        <f t="shared" si="4"/>
        <v>179.74</v>
      </c>
    </row>
    <row r="266" spans="1:12" x14ac:dyDescent="0.25">
      <c r="A266" s="65">
        <v>2340</v>
      </c>
      <c r="B266" s="65" t="s">
        <v>229</v>
      </c>
      <c r="C266" s="65" t="s">
        <v>873</v>
      </c>
      <c r="D266" s="65">
        <v>4</v>
      </c>
      <c r="E266" s="65"/>
      <c r="F266" s="70">
        <v>-542.36</v>
      </c>
      <c r="G266" s="70">
        <v>-14.09</v>
      </c>
      <c r="H266" s="70">
        <v>29.61</v>
      </c>
      <c r="I266" s="70">
        <v>-0.51</v>
      </c>
      <c r="J266" s="70">
        <v>-22.07</v>
      </c>
      <c r="K266" s="70">
        <v>6.42</v>
      </c>
      <c r="L266" s="64">
        <f t="shared" si="4"/>
        <v>542.36</v>
      </c>
    </row>
    <row r="267" spans="1:12" x14ac:dyDescent="0.25">
      <c r="A267" s="65">
        <v>43</v>
      </c>
      <c r="B267" s="65" t="s">
        <v>229</v>
      </c>
      <c r="C267" s="65" t="s">
        <v>277</v>
      </c>
      <c r="D267" s="65">
        <v>4</v>
      </c>
      <c r="E267" s="65"/>
      <c r="F267" s="70">
        <v>-233.29</v>
      </c>
      <c r="G267" s="70">
        <v>-1.83</v>
      </c>
      <c r="H267" s="70">
        <v>29.46</v>
      </c>
      <c r="I267" s="70">
        <v>-0.17</v>
      </c>
      <c r="J267" s="70">
        <v>-18.920000000000002</v>
      </c>
      <c r="K267" s="70">
        <v>0.84</v>
      </c>
      <c r="L267" s="64">
        <f t="shared" si="4"/>
        <v>233.29</v>
      </c>
    </row>
    <row r="268" spans="1:12" x14ac:dyDescent="0.25">
      <c r="A268" s="65">
        <v>2530</v>
      </c>
      <c r="B268" s="65" t="s">
        <v>229</v>
      </c>
      <c r="C268" s="65" t="s">
        <v>1037</v>
      </c>
      <c r="D268" s="65">
        <v>4</v>
      </c>
      <c r="E268" s="65"/>
      <c r="F268" s="70">
        <v>-231.98</v>
      </c>
      <c r="G268" s="70">
        <v>-1.83</v>
      </c>
      <c r="H268" s="70">
        <v>29.46</v>
      </c>
      <c r="I268" s="70">
        <v>-0.17</v>
      </c>
      <c r="J268" s="70">
        <v>-19.28</v>
      </c>
      <c r="K268" s="70">
        <v>0.98</v>
      </c>
      <c r="L268" s="64">
        <f t="shared" si="4"/>
        <v>231.98</v>
      </c>
    </row>
    <row r="269" spans="1:12" x14ac:dyDescent="0.25">
      <c r="A269" s="65">
        <v>1861</v>
      </c>
      <c r="B269" s="65" t="s">
        <v>229</v>
      </c>
      <c r="C269" s="65" t="s">
        <v>419</v>
      </c>
      <c r="D269" s="65">
        <v>4</v>
      </c>
      <c r="E269" s="65"/>
      <c r="F269" s="70">
        <v>-849.23</v>
      </c>
      <c r="G269" s="70">
        <v>-11.33</v>
      </c>
      <c r="H269" s="70">
        <v>29.43</v>
      </c>
      <c r="I269" s="70">
        <v>-0.22</v>
      </c>
      <c r="J269" s="70">
        <v>-55.14</v>
      </c>
      <c r="K269" s="70">
        <v>4.97</v>
      </c>
      <c r="L269" s="64">
        <f t="shared" si="4"/>
        <v>849.23</v>
      </c>
    </row>
    <row r="270" spans="1:12" x14ac:dyDescent="0.25">
      <c r="A270" s="65">
        <v>2126</v>
      </c>
      <c r="B270" s="65" t="s">
        <v>229</v>
      </c>
      <c r="C270" s="65" t="s">
        <v>661</v>
      </c>
      <c r="D270" s="65">
        <v>4</v>
      </c>
      <c r="E270" s="65"/>
      <c r="F270" s="70">
        <v>445.25</v>
      </c>
      <c r="G270" s="70">
        <v>-8.34</v>
      </c>
      <c r="H270" s="70">
        <v>29.15</v>
      </c>
      <c r="I270" s="70">
        <v>-0.73</v>
      </c>
      <c r="J270" s="70">
        <v>44.15</v>
      </c>
      <c r="K270" s="70">
        <v>3.96</v>
      </c>
      <c r="L270" s="64">
        <f t="shared" si="4"/>
        <v>-445.25</v>
      </c>
    </row>
    <row r="271" spans="1:12" x14ac:dyDescent="0.25">
      <c r="A271" s="65">
        <v>2413</v>
      </c>
      <c r="B271" s="65" t="s">
        <v>229</v>
      </c>
      <c r="C271" s="65" t="s">
        <v>947</v>
      </c>
      <c r="D271" s="65">
        <v>4</v>
      </c>
      <c r="E271" s="65"/>
      <c r="F271" s="70">
        <v>-848.38</v>
      </c>
      <c r="G271" s="70">
        <v>-11.18</v>
      </c>
      <c r="H271" s="70">
        <v>29.13</v>
      </c>
      <c r="I271" s="70">
        <v>-0.21</v>
      </c>
      <c r="J271" s="70">
        <v>-54.72</v>
      </c>
      <c r="K271" s="70">
        <v>4.9000000000000004</v>
      </c>
      <c r="L271" s="64">
        <f t="shared" si="4"/>
        <v>848.38</v>
      </c>
    </row>
    <row r="272" spans="1:12" x14ac:dyDescent="0.25">
      <c r="A272" s="65">
        <v>2267</v>
      </c>
      <c r="B272" s="65" t="s">
        <v>229</v>
      </c>
      <c r="C272" s="65" t="s">
        <v>798</v>
      </c>
      <c r="D272" s="65">
        <v>0</v>
      </c>
      <c r="E272" s="65"/>
      <c r="F272" s="70">
        <v>110.85</v>
      </c>
      <c r="G272" s="70">
        <v>-10.77</v>
      </c>
      <c r="H272" s="70">
        <v>28.98</v>
      </c>
      <c r="I272" s="70">
        <v>-0.67</v>
      </c>
      <c r="J272" s="70">
        <v>22.71</v>
      </c>
      <c r="K272" s="70">
        <v>-5.7</v>
      </c>
      <c r="L272" s="64">
        <f t="shared" si="4"/>
        <v>-110.85</v>
      </c>
    </row>
    <row r="273" spans="1:12" x14ac:dyDescent="0.25">
      <c r="A273" s="65">
        <v>2127</v>
      </c>
      <c r="B273" s="65" t="s">
        <v>229</v>
      </c>
      <c r="C273" s="65" t="s">
        <v>663</v>
      </c>
      <c r="D273" s="65">
        <v>4</v>
      </c>
      <c r="E273" s="65"/>
      <c r="F273" s="70">
        <v>344.43</v>
      </c>
      <c r="G273" s="70">
        <v>-8.98</v>
      </c>
      <c r="H273" s="70">
        <v>28.73</v>
      </c>
      <c r="I273" s="70">
        <v>-0.72</v>
      </c>
      <c r="J273" s="70">
        <v>30.77</v>
      </c>
      <c r="K273" s="70">
        <v>4.2</v>
      </c>
      <c r="L273" s="64">
        <f t="shared" si="4"/>
        <v>-344.43</v>
      </c>
    </row>
    <row r="274" spans="1:12" x14ac:dyDescent="0.25">
      <c r="A274" s="65">
        <v>26</v>
      </c>
      <c r="B274" s="65" t="s">
        <v>229</v>
      </c>
      <c r="C274" s="65" t="s">
        <v>243</v>
      </c>
      <c r="D274" s="65">
        <v>4</v>
      </c>
      <c r="E274" s="65"/>
      <c r="F274" s="70">
        <v>-277.51</v>
      </c>
      <c r="G274" s="70">
        <v>-1.88</v>
      </c>
      <c r="H274" s="70">
        <v>28.52</v>
      </c>
      <c r="I274" s="70">
        <v>-0.16</v>
      </c>
      <c r="J274" s="70">
        <v>-17.84</v>
      </c>
      <c r="K274" s="70">
        <v>1</v>
      </c>
      <c r="L274" s="64">
        <f t="shared" si="4"/>
        <v>277.51</v>
      </c>
    </row>
    <row r="275" spans="1:12" x14ac:dyDescent="0.25">
      <c r="A275" s="65">
        <v>2548</v>
      </c>
      <c r="B275" s="65" t="s">
        <v>229</v>
      </c>
      <c r="C275" s="65" t="s">
        <v>1072</v>
      </c>
      <c r="D275" s="65">
        <v>0</v>
      </c>
      <c r="E275" s="65"/>
      <c r="F275" s="70">
        <v>-321.23</v>
      </c>
      <c r="G275" s="70">
        <v>-1.89</v>
      </c>
      <c r="H275" s="70">
        <v>28.42</v>
      </c>
      <c r="I275" s="70">
        <v>-0.15</v>
      </c>
      <c r="J275" s="70">
        <v>-16.59</v>
      </c>
      <c r="K275" s="70">
        <v>-1.01</v>
      </c>
      <c r="L275" s="64">
        <f t="shared" si="4"/>
        <v>321.23</v>
      </c>
    </row>
    <row r="276" spans="1:12" x14ac:dyDescent="0.25">
      <c r="A276" s="65">
        <v>1929</v>
      </c>
      <c r="B276" s="65" t="s">
        <v>229</v>
      </c>
      <c r="C276" s="65" t="s">
        <v>483</v>
      </c>
      <c r="D276" s="65">
        <v>4</v>
      </c>
      <c r="E276" s="65"/>
      <c r="F276" s="70">
        <v>-796.06</v>
      </c>
      <c r="G276" s="70">
        <v>-12.9</v>
      </c>
      <c r="H276" s="70">
        <v>28.41</v>
      </c>
      <c r="I276" s="70">
        <v>-0.31</v>
      </c>
      <c r="J276" s="70">
        <v>-44.41</v>
      </c>
      <c r="K276" s="70">
        <v>5.64</v>
      </c>
      <c r="L276" s="64">
        <f t="shared" si="4"/>
        <v>796.06</v>
      </c>
    </row>
    <row r="277" spans="1:12" x14ac:dyDescent="0.25">
      <c r="A277" s="65">
        <v>1792</v>
      </c>
      <c r="B277" s="65" t="s">
        <v>229</v>
      </c>
      <c r="C277" s="65" t="s">
        <v>352</v>
      </c>
      <c r="D277" s="65">
        <v>0</v>
      </c>
      <c r="E277" s="65"/>
      <c r="F277" s="70">
        <v>-850.64</v>
      </c>
      <c r="G277" s="70">
        <v>-11.34</v>
      </c>
      <c r="H277" s="70">
        <v>28.4</v>
      </c>
      <c r="I277" s="70">
        <v>-0.22</v>
      </c>
      <c r="J277" s="70">
        <v>-44.81</v>
      </c>
      <c r="K277" s="70">
        <v>-6.33</v>
      </c>
      <c r="L277" s="64">
        <f t="shared" si="4"/>
        <v>850.64</v>
      </c>
    </row>
    <row r="278" spans="1:12" x14ac:dyDescent="0.25">
      <c r="A278" s="65">
        <v>1993</v>
      </c>
      <c r="B278" s="65" t="s">
        <v>229</v>
      </c>
      <c r="C278" s="65" t="s">
        <v>539</v>
      </c>
      <c r="D278" s="65">
        <v>4</v>
      </c>
      <c r="E278" s="65"/>
      <c r="F278" s="70">
        <v>-340.98</v>
      </c>
      <c r="G278" s="70">
        <v>-13</v>
      </c>
      <c r="H278" s="70">
        <v>28.15</v>
      </c>
      <c r="I278" s="70">
        <v>-0.6</v>
      </c>
      <c r="J278" s="70">
        <v>-23.47</v>
      </c>
      <c r="K278" s="70">
        <v>5.95</v>
      </c>
      <c r="L278" s="64">
        <f t="shared" si="4"/>
        <v>340.98</v>
      </c>
    </row>
    <row r="279" spans="1:12" x14ac:dyDescent="0.25">
      <c r="A279" s="65">
        <v>2546</v>
      </c>
      <c r="B279" s="65" t="s">
        <v>229</v>
      </c>
      <c r="C279" s="65" t="s">
        <v>1069</v>
      </c>
      <c r="D279" s="65">
        <v>4</v>
      </c>
      <c r="E279" s="65"/>
      <c r="F279" s="70">
        <v>-231</v>
      </c>
      <c r="G279" s="70">
        <v>-1.82</v>
      </c>
      <c r="H279" s="70">
        <v>28.14</v>
      </c>
      <c r="I279" s="70">
        <v>-0.17</v>
      </c>
      <c r="J279" s="70">
        <v>-18.149999999999999</v>
      </c>
      <c r="K279" s="70">
        <v>0.83</v>
      </c>
      <c r="L279" s="64">
        <f t="shared" si="4"/>
        <v>231</v>
      </c>
    </row>
    <row r="280" spans="1:12" x14ac:dyDescent="0.25">
      <c r="A280" s="65">
        <v>2482</v>
      </c>
      <c r="B280" s="65" t="s">
        <v>229</v>
      </c>
      <c r="C280" s="65" t="s">
        <v>1012</v>
      </c>
      <c r="D280" s="65">
        <v>0</v>
      </c>
      <c r="E280" s="65"/>
      <c r="F280" s="70">
        <v>-849.59</v>
      </c>
      <c r="G280" s="70">
        <v>-11.17</v>
      </c>
      <c r="H280" s="70">
        <v>28.07</v>
      </c>
      <c r="I280" s="70">
        <v>-0.21</v>
      </c>
      <c r="J280" s="70">
        <v>-45.06</v>
      </c>
      <c r="K280" s="70">
        <v>-6.24</v>
      </c>
      <c r="L280" s="64">
        <f t="shared" si="4"/>
        <v>849.59</v>
      </c>
    </row>
    <row r="281" spans="1:12" x14ac:dyDescent="0.25">
      <c r="A281" s="65">
        <v>2343</v>
      </c>
      <c r="B281" s="65" t="s">
        <v>229</v>
      </c>
      <c r="C281" s="65" t="s">
        <v>879</v>
      </c>
      <c r="D281" s="65">
        <v>4</v>
      </c>
      <c r="E281" s="65"/>
      <c r="F281" s="70">
        <v>-795.3</v>
      </c>
      <c r="G281" s="70">
        <v>-12.72</v>
      </c>
      <c r="H281" s="70">
        <v>28.01</v>
      </c>
      <c r="I281" s="70">
        <v>-0.31</v>
      </c>
      <c r="J281" s="70">
        <v>-43.92</v>
      </c>
      <c r="K281" s="70">
        <v>5.56</v>
      </c>
      <c r="L281" s="64">
        <f t="shared" si="4"/>
        <v>795.3</v>
      </c>
    </row>
    <row r="282" spans="1:12" x14ac:dyDescent="0.25">
      <c r="A282" s="65">
        <v>2128</v>
      </c>
      <c r="B282" s="65" t="s">
        <v>229</v>
      </c>
      <c r="C282" s="65" t="s">
        <v>665</v>
      </c>
      <c r="D282" s="65">
        <v>4</v>
      </c>
      <c r="E282" s="65"/>
      <c r="F282" s="70">
        <v>223.73</v>
      </c>
      <c r="G282" s="70">
        <v>-9.9</v>
      </c>
      <c r="H282" s="70">
        <v>27.94</v>
      </c>
      <c r="I282" s="70">
        <v>-0.69</v>
      </c>
      <c r="J282" s="70">
        <v>17.73</v>
      </c>
      <c r="K282" s="70">
        <v>4.59</v>
      </c>
      <c r="L282" s="64">
        <f t="shared" si="4"/>
        <v>-223.73</v>
      </c>
    </row>
    <row r="283" spans="1:12" x14ac:dyDescent="0.25">
      <c r="A283" s="65">
        <v>44</v>
      </c>
      <c r="B283" s="65" t="s">
        <v>229</v>
      </c>
      <c r="C283" s="65" t="s">
        <v>279</v>
      </c>
      <c r="D283" s="65">
        <v>4</v>
      </c>
      <c r="E283" s="65"/>
      <c r="F283" s="70">
        <v>-280.58999999999997</v>
      </c>
      <c r="G283" s="70">
        <v>-1.9</v>
      </c>
      <c r="H283" s="70">
        <v>27.91</v>
      </c>
      <c r="I283" s="70">
        <v>-0.16</v>
      </c>
      <c r="J283" s="70">
        <v>-17.39</v>
      </c>
      <c r="K283" s="70">
        <v>0.86</v>
      </c>
      <c r="L283" s="64">
        <f t="shared" si="4"/>
        <v>280.58999999999997</v>
      </c>
    </row>
    <row r="284" spans="1:12" x14ac:dyDescent="0.25">
      <c r="A284" s="65">
        <v>2065</v>
      </c>
      <c r="B284" s="65" t="s">
        <v>229</v>
      </c>
      <c r="C284" s="65" t="s">
        <v>611</v>
      </c>
      <c r="D284" s="65">
        <v>4</v>
      </c>
      <c r="E284" s="65"/>
      <c r="F284" s="70">
        <v>-617.64</v>
      </c>
      <c r="G284" s="70">
        <v>-14.24</v>
      </c>
      <c r="H284" s="70">
        <v>27.77</v>
      </c>
      <c r="I284" s="70">
        <v>-0.48</v>
      </c>
      <c r="J284" s="70">
        <v>-30.79</v>
      </c>
      <c r="K284" s="70">
        <v>6.44</v>
      </c>
      <c r="L284" s="64">
        <f t="shared" si="4"/>
        <v>617.64</v>
      </c>
    </row>
    <row r="285" spans="1:12" x14ac:dyDescent="0.25">
      <c r="A285" s="65">
        <v>1996</v>
      </c>
      <c r="B285" s="65" t="s">
        <v>229</v>
      </c>
      <c r="C285" s="65" t="s">
        <v>544</v>
      </c>
      <c r="D285" s="65">
        <v>0</v>
      </c>
      <c r="E285" s="65"/>
      <c r="F285" s="70">
        <v>-620.17999999999995</v>
      </c>
      <c r="G285" s="70">
        <v>-14.26</v>
      </c>
      <c r="H285" s="70">
        <v>27.59</v>
      </c>
      <c r="I285" s="70">
        <v>-0.48</v>
      </c>
      <c r="J285" s="70">
        <v>-17.36</v>
      </c>
      <c r="K285" s="70">
        <v>-7.64</v>
      </c>
      <c r="L285" s="64">
        <f t="shared" si="4"/>
        <v>620.17999999999995</v>
      </c>
    </row>
    <row r="286" spans="1:12" x14ac:dyDescent="0.25">
      <c r="A286" s="65">
        <v>1860</v>
      </c>
      <c r="B286" s="65" t="s">
        <v>229</v>
      </c>
      <c r="C286" s="65" t="s">
        <v>416</v>
      </c>
      <c r="D286" s="65">
        <v>0</v>
      </c>
      <c r="E286" s="65"/>
      <c r="F286" s="70">
        <v>-797.81</v>
      </c>
      <c r="G286" s="70">
        <v>-12.92</v>
      </c>
      <c r="H286" s="70">
        <v>27.57</v>
      </c>
      <c r="I286" s="70">
        <v>-0.31</v>
      </c>
      <c r="J286" s="70">
        <v>-39.299999999999997</v>
      </c>
      <c r="K286" s="70">
        <v>-7.12</v>
      </c>
      <c r="L286" s="64">
        <f t="shared" si="4"/>
        <v>797.81</v>
      </c>
    </row>
    <row r="287" spans="1:12" x14ac:dyDescent="0.25">
      <c r="A287" s="65">
        <v>2269</v>
      </c>
      <c r="B287" s="65" t="s">
        <v>229</v>
      </c>
      <c r="C287" s="65" t="s">
        <v>803</v>
      </c>
      <c r="D287" s="65">
        <v>4</v>
      </c>
      <c r="E287" s="65"/>
      <c r="F287" s="70">
        <v>-338.64</v>
      </c>
      <c r="G287" s="70">
        <v>-12.96</v>
      </c>
      <c r="H287" s="70">
        <v>27.29</v>
      </c>
      <c r="I287" s="70">
        <v>-0.6</v>
      </c>
      <c r="J287" s="70">
        <v>-22.88</v>
      </c>
      <c r="K287" s="70">
        <v>5.93</v>
      </c>
      <c r="L287" s="64">
        <f t="shared" si="4"/>
        <v>338.64</v>
      </c>
    </row>
    <row r="288" spans="1:12" x14ac:dyDescent="0.25">
      <c r="A288" s="65">
        <v>2529</v>
      </c>
      <c r="B288" s="65" t="s">
        <v>229</v>
      </c>
      <c r="C288" s="65" t="s">
        <v>1035</v>
      </c>
      <c r="D288" s="65">
        <v>4</v>
      </c>
      <c r="E288" s="65"/>
      <c r="F288" s="70">
        <v>-279.20999999999998</v>
      </c>
      <c r="G288" s="70">
        <v>-1.9</v>
      </c>
      <c r="H288" s="70">
        <v>27.15</v>
      </c>
      <c r="I288" s="70">
        <v>-0.16</v>
      </c>
      <c r="J288" s="70">
        <v>-17.14</v>
      </c>
      <c r="K288" s="70">
        <v>1.01</v>
      </c>
      <c r="L288" s="64">
        <f t="shared" si="4"/>
        <v>279.20999999999998</v>
      </c>
    </row>
    <row r="289" spans="1:12" x14ac:dyDescent="0.25">
      <c r="A289" s="65">
        <v>2203</v>
      </c>
      <c r="B289" s="65" t="s">
        <v>229</v>
      </c>
      <c r="C289" s="65" t="s">
        <v>743</v>
      </c>
      <c r="D289" s="65">
        <v>4</v>
      </c>
      <c r="E289" s="65"/>
      <c r="F289" s="70">
        <v>-616.98</v>
      </c>
      <c r="G289" s="70">
        <v>-14.19</v>
      </c>
      <c r="H289" s="70">
        <v>27.1</v>
      </c>
      <c r="I289" s="70">
        <v>-0.48</v>
      </c>
      <c r="J289" s="70">
        <v>-30.36</v>
      </c>
      <c r="K289" s="70">
        <v>6.42</v>
      </c>
      <c r="L289" s="64">
        <f t="shared" si="4"/>
        <v>616.98</v>
      </c>
    </row>
    <row r="290" spans="1:12" x14ac:dyDescent="0.25">
      <c r="A290" s="65">
        <v>2412</v>
      </c>
      <c r="B290" s="65" t="s">
        <v>229</v>
      </c>
      <c r="C290" s="65" t="s">
        <v>944</v>
      </c>
      <c r="D290" s="65">
        <v>0</v>
      </c>
      <c r="E290" s="65"/>
      <c r="F290" s="70">
        <v>-796.82</v>
      </c>
      <c r="G290" s="70">
        <v>-12.7</v>
      </c>
      <c r="H290" s="70">
        <v>26.99</v>
      </c>
      <c r="I290" s="70">
        <v>-0.31</v>
      </c>
      <c r="J290" s="70">
        <v>-39.86</v>
      </c>
      <c r="K290" s="70">
        <v>-7</v>
      </c>
      <c r="L290" s="64">
        <f t="shared" si="4"/>
        <v>796.82</v>
      </c>
    </row>
    <row r="291" spans="1:12" x14ac:dyDescent="0.25">
      <c r="A291" s="65">
        <v>2058</v>
      </c>
      <c r="B291" s="65" t="s">
        <v>229</v>
      </c>
      <c r="C291" s="65" t="s">
        <v>596</v>
      </c>
      <c r="D291" s="65">
        <v>0</v>
      </c>
      <c r="E291" s="65"/>
      <c r="F291" s="70">
        <v>345.55</v>
      </c>
      <c r="G291" s="70">
        <v>-8.98</v>
      </c>
      <c r="H291" s="70">
        <v>26.94</v>
      </c>
      <c r="I291" s="70">
        <v>-0.72</v>
      </c>
      <c r="J291" s="70">
        <v>45.82</v>
      </c>
      <c r="K291" s="70">
        <v>-4.68</v>
      </c>
      <c r="L291" s="64">
        <f t="shared" si="4"/>
        <v>-345.55</v>
      </c>
    </row>
    <row r="292" spans="1:12" x14ac:dyDescent="0.25">
      <c r="A292" s="65">
        <v>2196</v>
      </c>
      <c r="B292" s="65" t="s">
        <v>229</v>
      </c>
      <c r="C292" s="65" t="s">
        <v>728</v>
      </c>
      <c r="D292" s="65">
        <v>0</v>
      </c>
      <c r="E292" s="65"/>
      <c r="F292" s="70">
        <v>345.56</v>
      </c>
      <c r="G292" s="70">
        <v>-8.99</v>
      </c>
      <c r="H292" s="70">
        <v>26.57</v>
      </c>
      <c r="I292" s="70">
        <v>-0.72</v>
      </c>
      <c r="J292" s="70">
        <v>45.81</v>
      </c>
      <c r="K292" s="70">
        <v>-4.6900000000000004</v>
      </c>
      <c r="L292" s="64">
        <f t="shared" si="4"/>
        <v>-345.56</v>
      </c>
    </row>
    <row r="293" spans="1:12" x14ac:dyDescent="0.25">
      <c r="A293" s="65">
        <v>2547</v>
      </c>
      <c r="B293" s="65" t="s">
        <v>229</v>
      </c>
      <c r="C293" s="65" t="s">
        <v>1071</v>
      </c>
      <c r="D293" s="65">
        <v>4</v>
      </c>
      <c r="E293" s="65"/>
      <c r="F293" s="70">
        <v>-278.89</v>
      </c>
      <c r="G293" s="70">
        <v>-1.88</v>
      </c>
      <c r="H293" s="70">
        <v>26.53</v>
      </c>
      <c r="I293" s="70">
        <v>-0.16</v>
      </c>
      <c r="J293" s="70">
        <v>-16.62</v>
      </c>
      <c r="K293" s="70">
        <v>0.86</v>
      </c>
      <c r="L293" s="64">
        <f t="shared" si="4"/>
        <v>278.89</v>
      </c>
    </row>
    <row r="294" spans="1:12" x14ac:dyDescent="0.25">
      <c r="A294" s="65">
        <v>2272</v>
      </c>
      <c r="B294" s="65" t="s">
        <v>229</v>
      </c>
      <c r="C294" s="65" t="s">
        <v>808</v>
      </c>
      <c r="D294" s="65">
        <v>0</v>
      </c>
      <c r="E294" s="65"/>
      <c r="F294" s="70">
        <v>-619.16</v>
      </c>
      <c r="G294" s="70">
        <v>-14.17</v>
      </c>
      <c r="H294" s="70">
        <v>26.39</v>
      </c>
      <c r="I294" s="70">
        <v>-0.48</v>
      </c>
      <c r="J294" s="70">
        <v>-17.899999999999999</v>
      </c>
      <c r="K294" s="70">
        <v>-7.6</v>
      </c>
      <c r="L294" s="64">
        <f t="shared" si="4"/>
        <v>619.16</v>
      </c>
    </row>
    <row r="295" spans="1:12" x14ac:dyDescent="0.25">
      <c r="A295" s="65">
        <v>2057</v>
      </c>
      <c r="B295" s="65" t="s">
        <v>229</v>
      </c>
      <c r="C295" s="65" t="s">
        <v>594</v>
      </c>
      <c r="D295" s="65">
        <v>0</v>
      </c>
      <c r="E295" s="65"/>
      <c r="F295" s="70">
        <v>445.98</v>
      </c>
      <c r="G295" s="70">
        <v>-8.34</v>
      </c>
      <c r="H295" s="70">
        <v>26.23</v>
      </c>
      <c r="I295" s="70">
        <v>-0.73</v>
      </c>
      <c r="J295" s="70">
        <v>56.96</v>
      </c>
      <c r="K295" s="70">
        <v>-4.3</v>
      </c>
      <c r="L295" s="64">
        <f t="shared" si="4"/>
        <v>-445.98</v>
      </c>
    </row>
    <row r="296" spans="1:12" x14ac:dyDescent="0.25">
      <c r="A296" s="65">
        <v>1978</v>
      </c>
      <c r="B296" s="65" t="s">
        <v>229</v>
      </c>
      <c r="C296" s="65" t="s">
        <v>509</v>
      </c>
      <c r="D296" s="65">
        <v>4</v>
      </c>
      <c r="E296" s="65"/>
      <c r="F296" s="70">
        <v>-440.01</v>
      </c>
      <c r="G296" s="70">
        <v>-13.64</v>
      </c>
      <c r="H296" s="70">
        <v>26.19</v>
      </c>
      <c r="I296" s="70">
        <v>-0.55000000000000004</v>
      </c>
      <c r="J296" s="70">
        <v>-22.67</v>
      </c>
      <c r="K296" s="70">
        <v>7.27</v>
      </c>
      <c r="L296" s="64">
        <f t="shared" si="4"/>
        <v>440.01</v>
      </c>
    </row>
    <row r="297" spans="1:12" x14ac:dyDescent="0.25">
      <c r="A297" s="65">
        <v>46</v>
      </c>
      <c r="B297" s="65" t="s">
        <v>229</v>
      </c>
      <c r="C297" s="65" t="s">
        <v>283</v>
      </c>
      <c r="D297" s="65">
        <v>4</v>
      </c>
      <c r="E297" s="65"/>
      <c r="F297" s="70">
        <v>-371.5</v>
      </c>
      <c r="G297" s="70">
        <v>-1.86</v>
      </c>
      <c r="H297" s="70">
        <v>26</v>
      </c>
      <c r="I297" s="70">
        <v>-0.13</v>
      </c>
      <c r="J297" s="70">
        <v>-24.3</v>
      </c>
      <c r="K297" s="70">
        <v>0.83</v>
      </c>
      <c r="L297" s="64">
        <f t="shared" si="4"/>
        <v>371.5</v>
      </c>
    </row>
    <row r="298" spans="1:12" x14ac:dyDescent="0.25">
      <c r="A298" s="65">
        <v>2195</v>
      </c>
      <c r="B298" s="65" t="s">
        <v>229</v>
      </c>
      <c r="C298" s="65" t="s">
        <v>726</v>
      </c>
      <c r="D298" s="65">
        <v>0</v>
      </c>
      <c r="E298" s="65"/>
      <c r="F298" s="70">
        <v>445.99</v>
      </c>
      <c r="G298" s="70">
        <v>-8.34</v>
      </c>
      <c r="H298" s="70">
        <v>25.87</v>
      </c>
      <c r="I298" s="70">
        <v>-0.73</v>
      </c>
      <c r="J298" s="70">
        <v>56.88</v>
      </c>
      <c r="K298" s="70">
        <v>-4.3</v>
      </c>
      <c r="L298" s="64">
        <f t="shared" si="4"/>
        <v>-445.99</v>
      </c>
    </row>
    <row r="299" spans="1:12" x14ac:dyDescent="0.25">
      <c r="A299" s="65">
        <v>1930</v>
      </c>
      <c r="B299" s="65" t="s">
        <v>229</v>
      </c>
      <c r="C299" s="65" t="s">
        <v>485</v>
      </c>
      <c r="D299" s="65">
        <v>4</v>
      </c>
      <c r="E299" s="65"/>
      <c r="F299" s="70">
        <v>-840.17</v>
      </c>
      <c r="G299" s="70">
        <v>-11.32</v>
      </c>
      <c r="H299" s="70">
        <v>25.77</v>
      </c>
      <c r="I299" s="70">
        <v>-0.22</v>
      </c>
      <c r="J299" s="70">
        <v>-53.66</v>
      </c>
      <c r="K299" s="70">
        <v>4.97</v>
      </c>
      <c r="L299" s="64">
        <f t="shared" si="4"/>
        <v>840.17</v>
      </c>
    </row>
    <row r="300" spans="1:12" x14ac:dyDescent="0.25">
      <c r="A300" s="65">
        <v>2059</v>
      </c>
      <c r="B300" s="65" t="s">
        <v>229</v>
      </c>
      <c r="C300" s="65" t="s">
        <v>598</v>
      </c>
      <c r="D300" s="65">
        <v>0</v>
      </c>
      <c r="E300" s="65"/>
      <c r="F300" s="70">
        <v>225.42</v>
      </c>
      <c r="G300" s="70">
        <v>-9.9</v>
      </c>
      <c r="H300" s="70">
        <v>25.76</v>
      </c>
      <c r="I300" s="70">
        <v>-0.69</v>
      </c>
      <c r="J300" s="70">
        <v>32.130000000000003</v>
      </c>
      <c r="K300" s="70">
        <v>-5.21</v>
      </c>
      <c r="L300" s="64">
        <f t="shared" si="4"/>
        <v>-225.42</v>
      </c>
    </row>
    <row r="301" spans="1:12" x14ac:dyDescent="0.25">
      <c r="A301" s="65">
        <v>2125</v>
      </c>
      <c r="B301" s="65" t="s">
        <v>229</v>
      </c>
      <c r="C301" s="65" t="s">
        <v>659</v>
      </c>
      <c r="D301" s="65">
        <v>4</v>
      </c>
      <c r="E301" s="65"/>
      <c r="F301" s="70">
        <v>509.58</v>
      </c>
      <c r="G301" s="70">
        <v>-7.79</v>
      </c>
      <c r="H301" s="70">
        <v>25.7</v>
      </c>
      <c r="I301" s="70">
        <v>-0.74</v>
      </c>
      <c r="J301" s="70">
        <v>54.76</v>
      </c>
      <c r="K301" s="70">
        <v>3.76</v>
      </c>
      <c r="L301" s="64">
        <f t="shared" si="4"/>
        <v>-509.58</v>
      </c>
    </row>
    <row r="302" spans="1:12" x14ac:dyDescent="0.25">
      <c r="A302" s="65">
        <v>2344</v>
      </c>
      <c r="B302" s="65" t="s">
        <v>229</v>
      </c>
      <c r="C302" s="65" t="s">
        <v>881</v>
      </c>
      <c r="D302" s="65">
        <v>4</v>
      </c>
      <c r="E302" s="65"/>
      <c r="F302" s="70">
        <v>-839.66</v>
      </c>
      <c r="G302" s="70">
        <v>-11.19</v>
      </c>
      <c r="H302" s="70">
        <v>25.52</v>
      </c>
      <c r="I302" s="70">
        <v>-0.21</v>
      </c>
      <c r="J302" s="70">
        <v>-53.25</v>
      </c>
      <c r="K302" s="70">
        <v>4.91</v>
      </c>
      <c r="L302" s="64">
        <f t="shared" si="4"/>
        <v>839.66</v>
      </c>
    </row>
    <row r="303" spans="1:12" x14ac:dyDescent="0.25">
      <c r="A303" s="65">
        <v>2197</v>
      </c>
      <c r="B303" s="65" t="s">
        <v>229</v>
      </c>
      <c r="C303" s="65" t="s">
        <v>730</v>
      </c>
      <c r="D303" s="65">
        <v>0</v>
      </c>
      <c r="E303" s="65"/>
      <c r="F303" s="70">
        <v>225.62</v>
      </c>
      <c r="G303" s="70">
        <v>-9.9</v>
      </c>
      <c r="H303" s="70">
        <v>25.31</v>
      </c>
      <c r="I303" s="70">
        <v>-0.69</v>
      </c>
      <c r="J303" s="70">
        <v>32.119999999999997</v>
      </c>
      <c r="K303" s="70">
        <v>-5.21</v>
      </c>
      <c r="L303" s="64">
        <f t="shared" si="4"/>
        <v>-225.62</v>
      </c>
    </row>
    <row r="304" spans="1:12" x14ac:dyDescent="0.25">
      <c r="A304" s="65">
        <v>2254</v>
      </c>
      <c r="B304" s="65" t="s">
        <v>229</v>
      </c>
      <c r="C304" s="65" t="s">
        <v>773</v>
      </c>
      <c r="D304" s="65">
        <v>4</v>
      </c>
      <c r="E304" s="65"/>
      <c r="F304" s="70">
        <v>-441.85</v>
      </c>
      <c r="G304" s="70">
        <v>-13.69</v>
      </c>
      <c r="H304" s="70">
        <v>25.31</v>
      </c>
      <c r="I304" s="70">
        <v>-0.55000000000000004</v>
      </c>
      <c r="J304" s="70">
        <v>-22.07</v>
      </c>
      <c r="K304" s="70">
        <v>7.29</v>
      </c>
      <c r="L304" s="64">
        <f t="shared" si="4"/>
        <v>441.85</v>
      </c>
    </row>
    <row r="305" spans="1:12" x14ac:dyDescent="0.25">
      <c r="A305" s="65">
        <v>2549</v>
      </c>
      <c r="B305" s="65" t="s">
        <v>229</v>
      </c>
      <c r="C305" s="65" t="s">
        <v>1075</v>
      </c>
      <c r="D305" s="65">
        <v>4</v>
      </c>
      <c r="E305" s="65"/>
      <c r="F305" s="70">
        <v>-370.59</v>
      </c>
      <c r="G305" s="70">
        <v>-1.83</v>
      </c>
      <c r="H305" s="70">
        <v>25.25</v>
      </c>
      <c r="I305" s="70">
        <v>-0.12</v>
      </c>
      <c r="J305" s="70">
        <v>-23.66</v>
      </c>
      <c r="K305" s="70">
        <v>0.81</v>
      </c>
      <c r="L305" s="64">
        <f t="shared" si="4"/>
        <v>370.59</v>
      </c>
    </row>
    <row r="306" spans="1:12" x14ac:dyDescent="0.25">
      <c r="A306" s="65">
        <v>1997</v>
      </c>
      <c r="B306" s="65" t="s">
        <v>229</v>
      </c>
      <c r="C306" s="65" t="s">
        <v>547</v>
      </c>
      <c r="D306" s="65">
        <v>4</v>
      </c>
      <c r="E306" s="65"/>
      <c r="F306" s="70">
        <v>-714.25</v>
      </c>
      <c r="G306" s="70">
        <v>-13.89</v>
      </c>
      <c r="H306" s="70">
        <v>25.09</v>
      </c>
      <c r="I306" s="70">
        <v>-0.41</v>
      </c>
      <c r="J306" s="70">
        <v>-37.36</v>
      </c>
      <c r="K306" s="70">
        <v>6.18</v>
      </c>
      <c r="L306" s="64">
        <f t="shared" si="4"/>
        <v>714.25</v>
      </c>
    </row>
    <row r="307" spans="1:12" x14ac:dyDescent="0.25">
      <c r="A307" s="65">
        <v>2061</v>
      </c>
      <c r="B307" s="65" t="s">
        <v>229</v>
      </c>
      <c r="C307" s="65" t="s">
        <v>603</v>
      </c>
      <c r="D307" s="65">
        <v>4</v>
      </c>
      <c r="E307" s="65"/>
      <c r="F307" s="70">
        <v>-218.28</v>
      </c>
      <c r="G307" s="70">
        <v>-12.06</v>
      </c>
      <c r="H307" s="70">
        <v>24.86</v>
      </c>
      <c r="I307" s="70">
        <v>-0.63</v>
      </c>
      <c r="J307" s="70">
        <v>-19.600000000000001</v>
      </c>
      <c r="K307" s="70">
        <v>5.53</v>
      </c>
      <c r="L307" s="64">
        <f t="shared" si="4"/>
        <v>218.28</v>
      </c>
    </row>
    <row r="308" spans="1:12" x14ac:dyDescent="0.25">
      <c r="A308" s="65">
        <v>1928</v>
      </c>
      <c r="B308" s="65" t="s">
        <v>229</v>
      </c>
      <c r="C308" s="65" t="s">
        <v>480</v>
      </c>
      <c r="D308" s="65">
        <v>0</v>
      </c>
      <c r="E308" s="65"/>
      <c r="F308" s="70">
        <v>-716.39</v>
      </c>
      <c r="G308" s="70">
        <v>-13.91</v>
      </c>
      <c r="H308" s="70">
        <v>24.65</v>
      </c>
      <c r="I308" s="70">
        <v>-0.41</v>
      </c>
      <c r="J308" s="70">
        <v>-34.32</v>
      </c>
      <c r="K308" s="70">
        <v>-7.55</v>
      </c>
      <c r="L308" s="64">
        <f t="shared" si="4"/>
        <v>716.39</v>
      </c>
    </row>
    <row r="309" spans="1:12" x14ac:dyDescent="0.25">
      <c r="A309" s="65">
        <v>1861</v>
      </c>
      <c r="B309" s="65" t="s">
        <v>229</v>
      </c>
      <c r="C309" s="65" t="s">
        <v>418</v>
      </c>
      <c r="D309" s="65">
        <v>0</v>
      </c>
      <c r="E309" s="65"/>
      <c r="F309" s="70">
        <v>-841.39</v>
      </c>
      <c r="G309" s="70">
        <v>-11.33</v>
      </c>
      <c r="H309" s="70">
        <v>24.59</v>
      </c>
      <c r="I309" s="70">
        <v>-0.22</v>
      </c>
      <c r="J309" s="70">
        <v>-43.36</v>
      </c>
      <c r="K309" s="70">
        <v>-6.33</v>
      </c>
      <c r="L309" s="64">
        <f t="shared" si="4"/>
        <v>841.39</v>
      </c>
    </row>
    <row r="310" spans="1:12" x14ac:dyDescent="0.25">
      <c r="A310" s="65">
        <v>2055</v>
      </c>
      <c r="B310" s="65" t="s">
        <v>229</v>
      </c>
      <c r="C310" s="65" t="s">
        <v>591</v>
      </c>
      <c r="D310" s="65">
        <v>4</v>
      </c>
      <c r="E310" s="65"/>
      <c r="F310" s="70">
        <v>535.15</v>
      </c>
      <c r="G310" s="70">
        <v>-7.52</v>
      </c>
      <c r="H310" s="70">
        <v>24.57</v>
      </c>
      <c r="I310" s="70">
        <v>-0.74</v>
      </c>
      <c r="J310" s="70">
        <v>62.97</v>
      </c>
      <c r="K310" s="70">
        <v>3.75</v>
      </c>
      <c r="L310" s="64">
        <f t="shared" si="4"/>
        <v>-535.15</v>
      </c>
    </row>
    <row r="311" spans="1:12" x14ac:dyDescent="0.25">
      <c r="A311" s="65">
        <v>2273</v>
      </c>
      <c r="B311" s="65" t="s">
        <v>229</v>
      </c>
      <c r="C311" s="65" t="s">
        <v>811</v>
      </c>
      <c r="D311" s="65">
        <v>4</v>
      </c>
      <c r="E311" s="65"/>
      <c r="F311" s="70">
        <v>-713.58</v>
      </c>
      <c r="G311" s="70">
        <v>-13.76</v>
      </c>
      <c r="H311" s="70">
        <v>24.48</v>
      </c>
      <c r="I311" s="70">
        <v>-0.41</v>
      </c>
      <c r="J311" s="70">
        <v>-36.700000000000003</v>
      </c>
      <c r="K311" s="70">
        <v>6.12</v>
      </c>
      <c r="L311" s="64">
        <f t="shared" si="4"/>
        <v>713.58</v>
      </c>
    </row>
    <row r="312" spans="1:12" x14ac:dyDescent="0.25">
      <c r="A312" s="65">
        <v>2199</v>
      </c>
      <c r="B312" s="65" t="s">
        <v>229</v>
      </c>
      <c r="C312" s="65" t="s">
        <v>735</v>
      </c>
      <c r="D312" s="65">
        <v>4</v>
      </c>
      <c r="E312" s="65"/>
      <c r="F312" s="70">
        <v>-216.98</v>
      </c>
      <c r="G312" s="70">
        <v>-12.04</v>
      </c>
      <c r="H312" s="70">
        <v>24.43</v>
      </c>
      <c r="I312" s="70">
        <v>-0.63</v>
      </c>
      <c r="J312" s="70">
        <v>-19.29</v>
      </c>
      <c r="K312" s="70">
        <v>5.53</v>
      </c>
      <c r="L312" s="64">
        <f t="shared" si="4"/>
        <v>216.98</v>
      </c>
    </row>
    <row r="313" spans="1:12" x14ac:dyDescent="0.25">
      <c r="A313" s="65">
        <v>2413</v>
      </c>
      <c r="B313" s="65" t="s">
        <v>229</v>
      </c>
      <c r="C313" s="65" t="s">
        <v>946</v>
      </c>
      <c r="D313" s="65">
        <v>0</v>
      </c>
      <c r="E313" s="65"/>
      <c r="F313" s="70">
        <v>-840.54</v>
      </c>
      <c r="G313" s="70">
        <v>-11.18</v>
      </c>
      <c r="H313" s="70">
        <v>24.29</v>
      </c>
      <c r="I313" s="70">
        <v>-0.21</v>
      </c>
      <c r="J313" s="70">
        <v>-43.6</v>
      </c>
      <c r="K313" s="70">
        <v>-6.24</v>
      </c>
      <c r="L313" s="64">
        <f t="shared" si="4"/>
        <v>840.54</v>
      </c>
    </row>
    <row r="314" spans="1:12" x14ac:dyDescent="0.25">
      <c r="A314" s="65">
        <v>2193</v>
      </c>
      <c r="B314" s="65" t="s">
        <v>229</v>
      </c>
      <c r="C314" s="65" t="s">
        <v>723</v>
      </c>
      <c r="D314" s="65">
        <v>4</v>
      </c>
      <c r="E314" s="65"/>
      <c r="F314" s="70">
        <v>535.14</v>
      </c>
      <c r="G314" s="70">
        <v>-7.52</v>
      </c>
      <c r="H314" s="70">
        <v>24.28</v>
      </c>
      <c r="I314" s="70">
        <v>-0.74</v>
      </c>
      <c r="J314" s="70">
        <v>63.08</v>
      </c>
      <c r="K314" s="70">
        <v>3.75</v>
      </c>
      <c r="L314" s="64">
        <f t="shared" si="4"/>
        <v>-535.14</v>
      </c>
    </row>
    <row r="315" spans="1:12" x14ac:dyDescent="0.25">
      <c r="A315" s="65">
        <v>1992</v>
      </c>
      <c r="B315" s="65" t="s">
        <v>229</v>
      </c>
      <c r="C315" s="65" t="s">
        <v>536</v>
      </c>
      <c r="D315" s="65">
        <v>0</v>
      </c>
      <c r="E315" s="65"/>
      <c r="F315" s="70">
        <v>-220.92</v>
      </c>
      <c r="G315" s="70">
        <v>-12.06</v>
      </c>
      <c r="H315" s="70">
        <v>24.08</v>
      </c>
      <c r="I315" s="70">
        <v>-0.63</v>
      </c>
      <c r="J315" s="70">
        <v>-18.2</v>
      </c>
      <c r="K315" s="70">
        <v>-6.4</v>
      </c>
      <c r="L315" s="64">
        <f t="shared" si="4"/>
        <v>220.92</v>
      </c>
    </row>
    <row r="316" spans="1:12" x14ac:dyDescent="0.25">
      <c r="A316" s="65">
        <v>1979</v>
      </c>
      <c r="B316" s="65" t="s">
        <v>229</v>
      </c>
      <c r="C316" s="65" t="s">
        <v>511</v>
      </c>
      <c r="D316" s="65">
        <v>4</v>
      </c>
      <c r="E316" s="65"/>
      <c r="F316" s="70">
        <v>-336.51</v>
      </c>
      <c r="G316" s="70">
        <v>-12.97</v>
      </c>
      <c r="H316" s="70">
        <v>23.93</v>
      </c>
      <c r="I316" s="70">
        <v>-0.59</v>
      </c>
      <c r="J316" s="70">
        <v>-22.27</v>
      </c>
      <c r="K316" s="70">
        <v>6.9</v>
      </c>
      <c r="L316" s="64">
        <f t="shared" si="4"/>
        <v>336.51</v>
      </c>
    </row>
    <row r="317" spans="1:12" x14ac:dyDescent="0.25">
      <c r="A317" s="65">
        <v>2342</v>
      </c>
      <c r="B317" s="65" t="s">
        <v>229</v>
      </c>
      <c r="C317" s="65" t="s">
        <v>876</v>
      </c>
      <c r="D317" s="65">
        <v>0</v>
      </c>
      <c r="E317" s="65"/>
      <c r="F317" s="70">
        <v>-715.52</v>
      </c>
      <c r="G317" s="70">
        <v>-13.73</v>
      </c>
      <c r="H317" s="70">
        <v>23.91</v>
      </c>
      <c r="I317" s="70">
        <v>-0.41</v>
      </c>
      <c r="J317" s="70">
        <v>-35</v>
      </c>
      <c r="K317" s="70">
        <v>-7.46</v>
      </c>
      <c r="L317" s="64">
        <f t="shared" si="4"/>
        <v>715.52</v>
      </c>
    </row>
    <row r="318" spans="1:12" x14ac:dyDescent="0.25">
      <c r="A318" s="65">
        <v>1977</v>
      </c>
      <c r="B318" s="65" t="s">
        <v>229</v>
      </c>
      <c r="C318" s="65" t="s">
        <v>507</v>
      </c>
      <c r="D318" s="65">
        <v>4</v>
      </c>
      <c r="E318" s="65"/>
      <c r="F318" s="70">
        <v>-534.05999999999995</v>
      </c>
      <c r="G318" s="70">
        <v>-14.13</v>
      </c>
      <c r="H318" s="70">
        <v>23.74</v>
      </c>
      <c r="I318" s="70">
        <v>-0.51</v>
      </c>
      <c r="J318" s="70">
        <v>-19.57</v>
      </c>
      <c r="K318" s="70">
        <v>7.54</v>
      </c>
      <c r="L318" s="64">
        <f t="shared" si="4"/>
        <v>534.05999999999995</v>
      </c>
    </row>
    <row r="319" spans="1:12" x14ac:dyDescent="0.25">
      <c r="A319" s="65">
        <v>2129</v>
      </c>
      <c r="B319" s="65" t="s">
        <v>229</v>
      </c>
      <c r="C319" s="65" t="s">
        <v>667</v>
      </c>
      <c r="D319" s="65">
        <v>4</v>
      </c>
      <c r="E319" s="65"/>
      <c r="F319" s="70">
        <v>108.65</v>
      </c>
      <c r="G319" s="70">
        <v>-10.77</v>
      </c>
      <c r="H319" s="70">
        <v>23.5</v>
      </c>
      <c r="I319" s="70">
        <v>-0.67</v>
      </c>
      <c r="J319" s="70">
        <v>-13.06</v>
      </c>
      <c r="K319" s="70">
        <v>4.96</v>
      </c>
      <c r="L319" s="64">
        <f t="shared" si="4"/>
        <v>-108.65</v>
      </c>
    </row>
    <row r="320" spans="1:12" x14ac:dyDescent="0.25">
      <c r="A320" s="65">
        <v>2268</v>
      </c>
      <c r="B320" s="65" t="s">
        <v>229</v>
      </c>
      <c r="C320" s="65" t="s">
        <v>800</v>
      </c>
      <c r="D320" s="65">
        <v>0</v>
      </c>
      <c r="E320" s="65"/>
      <c r="F320" s="70">
        <v>-219.04</v>
      </c>
      <c r="G320" s="70">
        <v>-12.03</v>
      </c>
      <c r="H320" s="70">
        <v>23.12</v>
      </c>
      <c r="I320" s="70">
        <v>-0.63</v>
      </c>
      <c r="J320" s="70">
        <v>-18.71</v>
      </c>
      <c r="K320" s="70">
        <v>-6.38</v>
      </c>
      <c r="L320" s="64">
        <f t="shared" si="4"/>
        <v>219.04</v>
      </c>
    </row>
    <row r="321" spans="1:12" x14ac:dyDescent="0.25">
      <c r="A321" s="65">
        <v>2255</v>
      </c>
      <c r="B321" s="65" t="s">
        <v>229</v>
      </c>
      <c r="C321" s="65" t="s">
        <v>775</v>
      </c>
      <c r="D321" s="65">
        <v>4</v>
      </c>
      <c r="E321" s="65"/>
      <c r="F321" s="70">
        <v>-338.84</v>
      </c>
      <c r="G321" s="70">
        <v>-13</v>
      </c>
      <c r="H321" s="70">
        <v>23.06</v>
      </c>
      <c r="I321" s="70">
        <v>-0.59</v>
      </c>
      <c r="J321" s="70">
        <v>-21.76</v>
      </c>
      <c r="K321" s="70">
        <v>6.92</v>
      </c>
      <c r="L321" s="64">
        <f t="shared" si="4"/>
        <v>338.84</v>
      </c>
    </row>
    <row r="322" spans="1:12" x14ac:dyDescent="0.25">
      <c r="A322" s="65">
        <v>2253</v>
      </c>
      <c r="B322" s="65" t="s">
        <v>229</v>
      </c>
      <c r="C322" s="65" t="s">
        <v>771</v>
      </c>
      <c r="D322" s="65">
        <v>4</v>
      </c>
      <c r="E322" s="65"/>
      <c r="F322" s="70">
        <v>-535.45000000000005</v>
      </c>
      <c r="G322" s="70">
        <v>-14.2</v>
      </c>
      <c r="H322" s="70">
        <v>23.04</v>
      </c>
      <c r="I322" s="70">
        <v>-0.51</v>
      </c>
      <c r="J322" s="70">
        <v>-19.079999999999998</v>
      </c>
      <c r="K322" s="70">
        <v>7.58</v>
      </c>
      <c r="L322" s="64">
        <f t="shared" si="4"/>
        <v>535.45000000000005</v>
      </c>
    </row>
    <row r="323" spans="1:12" x14ac:dyDescent="0.25">
      <c r="A323" s="65">
        <v>1998</v>
      </c>
      <c r="B323" s="65" t="s">
        <v>229</v>
      </c>
      <c r="C323" s="65" t="s">
        <v>549</v>
      </c>
      <c r="D323" s="65">
        <v>4</v>
      </c>
      <c r="E323" s="65"/>
      <c r="F323" s="70">
        <v>-787.67</v>
      </c>
      <c r="G323" s="70">
        <v>-12.88</v>
      </c>
      <c r="H323" s="70">
        <v>22.96</v>
      </c>
      <c r="I323" s="70">
        <v>-0.31</v>
      </c>
      <c r="J323" s="70">
        <v>-42.36</v>
      </c>
      <c r="K323" s="70">
        <v>5.63</v>
      </c>
      <c r="L323" s="64">
        <f t="shared" ref="L323:L386" si="5">F323*-1</f>
        <v>787.67</v>
      </c>
    </row>
    <row r="324" spans="1:12" x14ac:dyDescent="0.25">
      <c r="A324" s="65">
        <v>2274</v>
      </c>
      <c r="B324" s="65" t="s">
        <v>229</v>
      </c>
      <c r="C324" s="65" t="s">
        <v>813</v>
      </c>
      <c r="D324" s="65">
        <v>4</v>
      </c>
      <c r="E324" s="65"/>
      <c r="F324" s="70">
        <v>-787.31</v>
      </c>
      <c r="G324" s="70">
        <v>-12.75</v>
      </c>
      <c r="H324" s="70">
        <v>22.75</v>
      </c>
      <c r="I324" s="70">
        <v>-0.31</v>
      </c>
      <c r="J324" s="70">
        <v>-41.92</v>
      </c>
      <c r="K324" s="70">
        <v>5.57</v>
      </c>
      <c r="L324" s="64">
        <f t="shared" si="5"/>
        <v>787.31</v>
      </c>
    </row>
    <row r="325" spans="1:12" x14ac:dyDescent="0.25">
      <c r="A325" s="65">
        <v>1994</v>
      </c>
      <c r="B325" s="65" t="s">
        <v>229</v>
      </c>
      <c r="C325" s="65" t="s">
        <v>541</v>
      </c>
      <c r="D325" s="65">
        <v>4</v>
      </c>
      <c r="E325" s="65"/>
      <c r="F325" s="70">
        <v>-444.46</v>
      </c>
      <c r="G325" s="70">
        <v>-13.71</v>
      </c>
      <c r="H325" s="70">
        <v>22.56</v>
      </c>
      <c r="I325" s="70">
        <v>-0.55000000000000004</v>
      </c>
      <c r="J325" s="70">
        <v>-20.43</v>
      </c>
      <c r="K325" s="70">
        <v>6.26</v>
      </c>
      <c r="L325" s="64">
        <f t="shared" si="5"/>
        <v>444.46</v>
      </c>
    </row>
    <row r="326" spans="1:12" x14ac:dyDescent="0.25">
      <c r="A326" s="65">
        <v>46</v>
      </c>
      <c r="B326" s="65" t="s">
        <v>229</v>
      </c>
      <c r="C326" s="65" t="s">
        <v>282</v>
      </c>
      <c r="D326" s="65">
        <v>0</v>
      </c>
      <c r="E326" s="65"/>
      <c r="F326" s="70">
        <v>-368.82</v>
      </c>
      <c r="G326" s="70">
        <v>-1.86</v>
      </c>
      <c r="H326" s="70">
        <v>22.25</v>
      </c>
      <c r="I326" s="70">
        <v>-0.13</v>
      </c>
      <c r="J326" s="70">
        <v>-20.73</v>
      </c>
      <c r="K326" s="70">
        <v>-1.01</v>
      </c>
      <c r="L326" s="64">
        <f t="shared" si="5"/>
        <v>368.82</v>
      </c>
    </row>
    <row r="327" spans="1:12" x14ac:dyDescent="0.25">
      <c r="A327" s="65">
        <v>1995</v>
      </c>
      <c r="B327" s="65" t="s">
        <v>229</v>
      </c>
      <c r="C327" s="65" t="s">
        <v>543</v>
      </c>
      <c r="D327" s="65">
        <v>4</v>
      </c>
      <c r="E327" s="65"/>
      <c r="F327" s="70">
        <v>-538.22</v>
      </c>
      <c r="G327" s="70">
        <v>-14.18</v>
      </c>
      <c r="H327" s="70">
        <v>22.15</v>
      </c>
      <c r="I327" s="70">
        <v>-0.51</v>
      </c>
      <c r="J327" s="70">
        <v>-18.62</v>
      </c>
      <c r="K327" s="70">
        <v>6.46</v>
      </c>
      <c r="L327" s="64">
        <f t="shared" si="5"/>
        <v>538.22</v>
      </c>
    </row>
    <row r="328" spans="1:12" x14ac:dyDescent="0.25">
      <c r="A328" s="65">
        <v>1999</v>
      </c>
      <c r="B328" s="65" t="s">
        <v>229</v>
      </c>
      <c r="C328" s="65" t="s">
        <v>551</v>
      </c>
      <c r="D328" s="65">
        <v>4</v>
      </c>
      <c r="E328" s="65"/>
      <c r="F328" s="70">
        <v>-831.19</v>
      </c>
      <c r="G328" s="70">
        <v>-11.31</v>
      </c>
      <c r="H328" s="70">
        <v>22.13</v>
      </c>
      <c r="I328" s="70">
        <v>-0.21</v>
      </c>
      <c r="J328" s="70">
        <v>-52.21</v>
      </c>
      <c r="K328" s="70">
        <v>4.96</v>
      </c>
      <c r="L328" s="64">
        <f t="shared" si="5"/>
        <v>831.19</v>
      </c>
    </row>
    <row r="329" spans="1:12" x14ac:dyDescent="0.25">
      <c r="A329" s="65">
        <v>1929</v>
      </c>
      <c r="B329" s="65" t="s">
        <v>229</v>
      </c>
      <c r="C329" s="65" t="s">
        <v>482</v>
      </c>
      <c r="D329" s="65">
        <v>0</v>
      </c>
      <c r="E329" s="65"/>
      <c r="F329" s="70">
        <v>-789.33</v>
      </c>
      <c r="G329" s="70">
        <v>-12.9</v>
      </c>
      <c r="H329" s="70">
        <v>22.11</v>
      </c>
      <c r="I329" s="70">
        <v>-0.31</v>
      </c>
      <c r="J329" s="70">
        <v>-37.35</v>
      </c>
      <c r="K329" s="70">
        <v>-7.11</v>
      </c>
      <c r="L329" s="64">
        <f t="shared" si="5"/>
        <v>789.33</v>
      </c>
    </row>
    <row r="330" spans="1:12" x14ac:dyDescent="0.25">
      <c r="A330" s="65">
        <v>2056</v>
      </c>
      <c r="B330" s="65" t="s">
        <v>229</v>
      </c>
      <c r="C330" s="65" t="s">
        <v>592</v>
      </c>
      <c r="D330" s="65">
        <v>0</v>
      </c>
      <c r="E330" s="65"/>
      <c r="F330" s="70">
        <v>510.47</v>
      </c>
      <c r="G330" s="70">
        <v>-7.79</v>
      </c>
      <c r="H330" s="70">
        <v>22.06</v>
      </c>
      <c r="I330" s="70">
        <v>-0.74</v>
      </c>
      <c r="J330" s="70">
        <v>62.59</v>
      </c>
      <c r="K330" s="70">
        <v>-3.95</v>
      </c>
      <c r="L330" s="64">
        <f t="shared" si="5"/>
        <v>-510.47</v>
      </c>
    </row>
    <row r="331" spans="1:12" x14ac:dyDescent="0.25">
      <c r="A331" s="65">
        <v>2275</v>
      </c>
      <c r="B331" s="65" t="s">
        <v>229</v>
      </c>
      <c r="C331" s="65" t="s">
        <v>815</v>
      </c>
      <c r="D331" s="65">
        <v>4</v>
      </c>
      <c r="E331" s="65"/>
      <c r="F331" s="70">
        <v>-830.99</v>
      </c>
      <c r="G331" s="70">
        <v>-11.21</v>
      </c>
      <c r="H331" s="70">
        <v>21.93</v>
      </c>
      <c r="I331" s="70">
        <v>-0.21</v>
      </c>
      <c r="J331" s="70">
        <v>-51.85</v>
      </c>
      <c r="K331" s="70">
        <v>4.92</v>
      </c>
      <c r="L331" s="64">
        <f t="shared" si="5"/>
        <v>830.99</v>
      </c>
    </row>
    <row r="332" spans="1:12" x14ac:dyDescent="0.25">
      <c r="A332" s="65">
        <v>2060</v>
      </c>
      <c r="B332" s="65" t="s">
        <v>229</v>
      </c>
      <c r="C332" s="65" t="s">
        <v>600</v>
      </c>
      <c r="D332" s="65">
        <v>0</v>
      </c>
      <c r="E332" s="65"/>
      <c r="F332" s="70">
        <v>110.73</v>
      </c>
      <c r="G332" s="70">
        <v>-10.77</v>
      </c>
      <c r="H332" s="70">
        <v>21.87</v>
      </c>
      <c r="I332" s="70">
        <v>-0.67</v>
      </c>
      <c r="J332" s="70">
        <v>19.04</v>
      </c>
      <c r="K332" s="70">
        <v>-5.7</v>
      </c>
      <c r="L332" s="64">
        <f t="shared" si="5"/>
        <v>-110.73</v>
      </c>
    </row>
    <row r="333" spans="1:12" x14ac:dyDescent="0.25">
      <c r="A333" s="65">
        <v>2134</v>
      </c>
      <c r="B333" s="65" t="s">
        <v>229</v>
      </c>
      <c r="C333" s="65" t="s">
        <v>677</v>
      </c>
      <c r="D333" s="65">
        <v>4</v>
      </c>
      <c r="E333" s="65"/>
      <c r="F333" s="70">
        <v>-611.22</v>
      </c>
      <c r="G333" s="70">
        <v>-14.22</v>
      </c>
      <c r="H333" s="70">
        <v>21.83</v>
      </c>
      <c r="I333" s="70">
        <v>-0.48</v>
      </c>
      <c r="J333" s="70">
        <v>-28.1</v>
      </c>
      <c r="K333" s="70">
        <v>6.43</v>
      </c>
      <c r="L333" s="64">
        <f t="shared" si="5"/>
        <v>611.22</v>
      </c>
    </row>
    <row r="334" spans="1:12" x14ac:dyDescent="0.25">
      <c r="A334" s="65">
        <v>2194</v>
      </c>
      <c r="B334" s="65" t="s">
        <v>229</v>
      </c>
      <c r="C334" s="65" t="s">
        <v>724</v>
      </c>
      <c r="D334" s="65">
        <v>0</v>
      </c>
      <c r="E334" s="65"/>
      <c r="F334" s="70">
        <v>510.47</v>
      </c>
      <c r="G334" s="70">
        <v>-7.79</v>
      </c>
      <c r="H334" s="70">
        <v>21.73</v>
      </c>
      <c r="I334" s="70">
        <v>-0.74</v>
      </c>
      <c r="J334" s="70">
        <v>62.49</v>
      </c>
      <c r="K334" s="70">
        <v>-3.95</v>
      </c>
      <c r="L334" s="64">
        <f t="shared" si="5"/>
        <v>-510.47</v>
      </c>
    </row>
    <row r="335" spans="1:12" x14ac:dyDescent="0.25">
      <c r="A335" s="65">
        <v>2343</v>
      </c>
      <c r="B335" s="65" t="s">
        <v>229</v>
      </c>
      <c r="C335" s="65" t="s">
        <v>878</v>
      </c>
      <c r="D335" s="65">
        <v>0</v>
      </c>
      <c r="E335" s="65"/>
      <c r="F335" s="70">
        <v>-788.58</v>
      </c>
      <c r="G335" s="70">
        <v>-12.72</v>
      </c>
      <c r="H335" s="70">
        <v>21.72</v>
      </c>
      <c r="I335" s="70">
        <v>-0.31</v>
      </c>
      <c r="J335" s="70">
        <v>-37.81</v>
      </c>
      <c r="K335" s="70">
        <v>-7.01</v>
      </c>
      <c r="L335" s="64">
        <f t="shared" si="5"/>
        <v>788.58</v>
      </c>
    </row>
    <row r="336" spans="1:12" x14ac:dyDescent="0.25">
      <c r="A336" s="65">
        <v>47</v>
      </c>
      <c r="B336" s="65" t="s">
        <v>229</v>
      </c>
      <c r="C336" s="65" t="s">
        <v>285</v>
      </c>
      <c r="D336" s="65">
        <v>4</v>
      </c>
      <c r="E336" s="65"/>
      <c r="F336" s="70">
        <v>-409.9</v>
      </c>
      <c r="G336" s="70">
        <v>-1.73</v>
      </c>
      <c r="H336" s="70">
        <v>21.71</v>
      </c>
      <c r="I336" s="70">
        <v>-0.1</v>
      </c>
      <c r="J336" s="70">
        <v>-25.55</v>
      </c>
      <c r="K336" s="70">
        <v>0.75</v>
      </c>
      <c r="L336" s="64">
        <f t="shared" si="5"/>
        <v>409.9</v>
      </c>
    </row>
    <row r="337" spans="1:12" x14ac:dyDescent="0.25">
      <c r="A337" s="65">
        <v>2270</v>
      </c>
      <c r="B337" s="65" t="s">
        <v>229</v>
      </c>
      <c r="C337" s="65" t="s">
        <v>805</v>
      </c>
      <c r="D337" s="65">
        <v>4</v>
      </c>
      <c r="E337" s="65"/>
      <c r="F337" s="70">
        <v>-442.61</v>
      </c>
      <c r="G337" s="70">
        <v>-13.65</v>
      </c>
      <c r="H337" s="70">
        <v>21.68</v>
      </c>
      <c r="I337" s="70">
        <v>-0.55000000000000004</v>
      </c>
      <c r="J337" s="70">
        <v>-19.87</v>
      </c>
      <c r="K337" s="70">
        <v>6.24</v>
      </c>
      <c r="L337" s="64">
        <f t="shared" si="5"/>
        <v>442.61</v>
      </c>
    </row>
    <row r="338" spans="1:12" x14ac:dyDescent="0.25">
      <c r="A338" s="65">
        <v>2549</v>
      </c>
      <c r="B338" s="65" t="s">
        <v>229</v>
      </c>
      <c r="C338" s="65" t="s">
        <v>1074</v>
      </c>
      <c r="D338" s="65">
        <v>0</v>
      </c>
      <c r="E338" s="65"/>
      <c r="F338" s="70">
        <v>-367.91</v>
      </c>
      <c r="G338" s="70">
        <v>-1.83</v>
      </c>
      <c r="H338" s="70">
        <v>21.5</v>
      </c>
      <c r="I338" s="70">
        <v>-0.12</v>
      </c>
      <c r="J338" s="70">
        <v>-21.32</v>
      </c>
      <c r="K338" s="70">
        <v>-0.99</v>
      </c>
      <c r="L338" s="64">
        <f t="shared" si="5"/>
        <v>367.91</v>
      </c>
    </row>
    <row r="339" spans="1:12" x14ac:dyDescent="0.25">
      <c r="A339" s="65">
        <v>2198</v>
      </c>
      <c r="B339" s="65" t="s">
        <v>229</v>
      </c>
      <c r="C339" s="65" t="s">
        <v>732</v>
      </c>
      <c r="D339" s="65">
        <v>0</v>
      </c>
      <c r="E339" s="65"/>
      <c r="F339" s="70">
        <v>110.69</v>
      </c>
      <c r="G339" s="70">
        <v>-10.77</v>
      </c>
      <c r="H339" s="70">
        <v>21.38</v>
      </c>
      <c r="I339" s="70">
        <v>-0.67</v>
      </c>
      <c r="J339" s="70">
        <v>19.04</v>
      </c>
      <c r="K339" s="70">
        <v>-5.7</v>
      </c>
      <c r="L339" s="64">
        <f t="shared" si="5"/>
        <v>-110.69</v>
      </c>
    </row>
    <row r="340" spans="1:12" x14ac:dyDescent="0.25">
      <c r="A340" s="65">
        <v>2550</v>
      </c>
      <c r="B340" s="65" t="s">
        <v>229</v>
      </c>
      <c r="C340" s="65" t="s">
        <v>1077</v>
      </c>
      <c r="D340" s="65">
        <v>4</v>
      </c>
      <c r="E340" s="65"/>
      <c r="F340" s="70">
        <v>-409.14</v>
      </c>
      <c r="G340" s="70">
        <v>-1.7</v>
      </c>
      <c r="H340" s="70">
        <v>21.26</v>
      </c>
      <c r="I340" s="70">
        <v>-0.09</v>
      </c>
      <c r="J340" s="70">
        <v>-25.19</v>
      </c>
      <c r="K340" s="70">
        <v>0.74</v>
      </c>
      <c r="L340" s="64">
        <f t="shared" si="5"/>
        <v>409.14</v>
      </c>
    </row>
    <row r="341" spans="1:12" x14ac:dyDescent="0.25">
      <c r="A341" s="65">
        <v>2271</v>
      </c>
      <c r="B341" s="65" t="s">
        <v>229</v>
      </c>
      <c r="C341" s="65" t="s">
        <v>807</v>
      </c>
      <c r="D341" s="65">
        <v>4</v>
      </c>
      <c r="E341" s="65"/>
      <c r="F341" s="70">
        <v>-536.82000000000005</v>
      </c>
      <c r="G341" s="70">
        <v>-14.11</v>
      </c>
      <c r="H341" s="70">
        <v>21.21</v>
      </c>
      <c r="I341" s="70">
        <v>-0.51</v>
      </c>
      <c r="J341" s="70">
        <v>-18.02</v>
      </c>
      <c r="K341" s="70">
        <v>6.43</v>
      </c>
      <c r="L341" s="64">
        <f t="shared" si="5"/>
        <v>536.82000000000005</v>
      </c>
    </row>
    <row r="342" spans="1:12" x14ac:dyDescent="0.25">
      <c r="A342" s="65">
        <v>1930</v>
      </c>
      <c r="B342" s="65" t="s">
        <v>229</v>
      </c>
      <c r="C342" s="65" t="s">
        <v>484</v>
      </c>
      <c r="D342" s="65">
        <v>0</v>
      </c>
      <c r="E342" s="65"/>
      <c r="F342" s="70">
        <v>-832.33</v>
      </c>
      <c r="G342" s="70">
        <v>-11.32</v>
      </c>
      <c r="H342" s="70">
        <v>20.93</v>
      </c>
      <c r="I342" s="70">
        <v>-0.22</v>
      </c>
      <c r="J342" s="70">
        <v>-41.93</v>
      </c>
      <c r="K342" s="70">
        <v>-6.32</v>
      </c>
      <c r="L342" s="64">
        <f t="shared" si="5"/>
        <v>832.33</v>
      </c>
    </row>
    <row r="343" spans="1:12" x14ac:dyDescent="0.25">
      <c r="A343" s="65">
        <v>2344</v>
      </c>
      <c r="B343" s="65" t="s">
        <v>229</v>
      </c>
      <c r="C343" s="65" t="s">
        <v>880</v>
      </c>
      <c r="D343" s="65">
        <v>0</v>
      </c>
      <c r="E343" s="65"/>
      <c r="F343" s="70">
        <v>-831.82</v>
      </c>
      <c r="G343" s="70">
        <v>-11.19</v>
      </c>
      <c r="H343" s="70">
        <v>20.69</v>
      </c>
      <c r="I343" s="70">
        <v>-0.21</v>
      </c>
      <c r="J343" s="70">
        <v>-42.24</v>
      </c>
      <c r="K343" s="70">
        <v>-6.25</v>
      </c>
      <c r="L343" s="64">
        <f t="shared" si="5"/>
        <v>831.82</v>
      </c>
    </row>
    <row r="344" spans="1:12" x14ac:dyDescent="0.25">
      <c r="A344" s="65">
        <v>2126</v>
      </c>
      <c r="B344" s="65" t="s">
        <v>229</v>
      </c>
      <c r="C344" s="65" t="s">
        <v>660</v>
      </c>
      <c r="D344" s="65">
        <v>0</v>
      </c>
      <c r="E344" s="65"/>
      <c r="F344" s="70">
        <v>446.01</v>
      </c>
      <c r="G344" s="70">
        <v>-8.34</v>
      </c>
      <c r="H344" s="70">
        <v>19.96</v>
      </c>
      <c r="I344" s="70">
        <v>-0.73</v>
      </c>
      <c r="J344" s="70">
        <v>54.74</v>
      </c>
      <c r="K344" s="70">
        <v>-4.3</v>
      </c>
      <c r="L344" s="64">
        <f t="shared" si="5"/>
        <v>-446.01</v>
      </c>
    </row>
    <row r="345" spans="1:12" x14ac:dyDescent="0.25">
      <c r="A345" s="65">
        <v>2124</v>
      </c>
      <c r="B345" s="65" t="s">
        <v>229</v>
      </c>
      <c r="C345" s="65" t="s">
        <v>657</v>
      </c>
      <c r="D345" s="65">
        <v>4</v>
      </c>
      <c r="E345" s="65"/>
      <c r="F345" s="70">
        <v>534.5</v>
      </c>
      <c r="G345" s="70">
        <v>-7.52</v>
      </c>
      <c r="H345" s="70">
        <v>19.68</v>
      </c>
      <c r="I345" s="70">
        <v>-0.74</v>
      </c>
      <c r="J345" s="70">
        <v>59.8</v>
      </c>
      <c r="K345" s="70">
        <v>3.75</v>
      </c>
      <c r="L345" s="64">
        <f t="shared" si="5"/>
        <v>-534.5</v>
      </c>
    </row>
    <row r="346" spans="1:12" x14ac:dyDescent="0.25">
      <c r="A346" s="65">
        <v>2127</v>
      </c>
      <c r="B346" s="65" t="s">
        <v>229</v>
      </c>
      <c r="C346" s="65" t="s">
        <v>662</v>
      </c>
      <c r="D346" s="65">
        <v>0</v>
      </c>
      <c r="E346" s="65"/>
      <c r="F346" s="70">
        <v>345.57</v>
      </c>
      <c r="G346" s="70">
        <v>-8.98</v>
      </c>
      <c r="H346" s="70">
        <v>19.579999999999998</v>
      </c>
      <c r="I346" s="70">
        <v>-0.72</v>
      </c>
      <c r="J346" s="70">
        <v>44.15</v>
      </c>
      <c r="K346" s="70">
        <v>-4.6900000000000004</v>
      </c>
      <c r="L346" s="64">
        <f t="shared" si="5"/>
        <v>-345.57</v>
      </c>
    </row>
    <row r="347" spans="1:12" x14ac:dyDescent="0.25">
      <c r="A347" s="65">
        <v>2065</v>
      </c>
      <c r="B347" s="65" t="s">
        <v>229</v>
      </c>
      <c r="C347" s="65" t="s">
        <v>610</v>
      </c>
      <c r="D347" s="65">
        <v>0</v>
      </c>
      <c r="E347" s="65"/>
      <c r="F347" s="70">
        <v>-613.75</v>
      </c>
      <c r="G347" s="70">
        <v>-14.24</v>
      </c>
      <c r="H347" s="70">
        <v>19.420000000000002</v>
      </c>
      <c r="I347" s="70">
        <v>-0.48</v>
      </c>
      <c r="J347" s="70">
        <v>-14.67</v>
      </c>
      <c r="K347" s="70">
        <v>-7.63</v>
      </c>
      <c r="L347" s="64">
        <f t="shared" si="5"/>
        <v>613.75</v>
      </c>
    </row>
    <row r="348" spans="1:12" x14ac:dyDescent="0.25">
      <c r="A348" s="65">
        <v>2483</v>
      </c>
      <c r="B348" s="65" t="s">
        <v>229</v>
      </c>
      <c r="C348" s="65" t="s">
        <v>1015</v>
      </c>
      <c r="D348" s="65">
        <v>4</v>
      </c>
      <c r="E348" s="65"/>
      <c r="F348" s="70">
        <v>-848.34</v>
      </c>
      <c r="G348" s="70">
        <v>-9.19</v>
      </c>
      <c r="H348" s="70">
        <v>18.89</v>
      </c>
      <c r="I348" s="70">
        <v>0.14000000000000001</v>
      </c>
      <c r="J348" s="70">
        <v>-57.96</v>
      </c>
      <c r="K348" s="70">
        <v>4.0599999999999996</v>
      </c>
      <c r="L348" s="64">
        <f t="shared" si="5"/>
        <v>848.34</v>
      </c>
    </row>
    <row r="349" spans="1:12" x14ac:dyDescent="0.25">
      <c r="A349" s="65">
        <v>2128</v>
      </c>
      <c r="B349" s="65" t="s">
        <v>229</v>
      </c>
      <c r="C349" s="65" t="s">
        <v>664</v>
      </c>
      <c r="D349" s="65">
        <v>0</v>
      </c>
      <c r="E349" s="65"/>
      <c r="F349" s="70">
        <v>225.24</v>
      </c>
      <c r="G349" s="70">
        <v>-9.9</v>
      </c>
      <c r="H349" s="70">
        <v>18.84</v>
      </c>
      <c r="I349" s="70">
        <v>-0.69</v>
      </c>
      <c r="J349" s="70">
        <v>30.76</v>
      </c>
      <c r="K349" s="70">
        <v>-5.21</v>
      </c>
      <c r="L349" s="64">
        <f t="shared" si="5"/>
        <v>-225.24</v>
      </c>
    </row>
    <row r="350" spans="1:12" x14ac:dyDescent="0.25">
      <c r="A350" s="65">
        <v>2203</v>
      </c>
      <c r="B350" s="65" t="s">
        <v>229</v>
      </c>
      <c r="C350" s="65" t="s">
        <v>742</v>
      </c>
      <c r="D350" s="65">
        <v>0</v>
      </c>
      <c r="E350" s="65"/>
      <c r="F350" s="70">
        <v>-613.08000000000004</v>
      </c>
      <c r="G350" s="70">
        <v>-14.19</v>
      </c>
      <c r="H350" s="70">
        <v>18.739999999999998</v>
      </c>
      <c r="I350" s="70">
        <v>-0.48</v>
      </c>
      <c r="J350" s="70">
        <v>-14.99</v>
      </c>
      <c r="K350" s="70">
        <v>-7.61</v>
      </c>
      <c r="L350" s="64">
        <f t="shared" si="5"/>
        <v>613.08000000000004</v>
      </c>
    </row>
    <row r="351" spans="1:12" x14ac:dyDescent="0.25">
      <c r="A351" s="65">
        <v>1793</v>
      </c>
      <c r="B351" s="65" t="s">
        <v>229</v>
      </c>
      <c r="C351" s="65" t="s">
        <v>355</v>
      </c>
      <c r="D351" s="65">
        <v>4</v>
      </c>
      <c r="E351" s="65"/>
      <c r="F351" s="70">
        <v>-849.42</v>
      </c>
      <c r="G351" s="70">
        <v>-9.27</v>
      </c>
      <c r="H351" s="70">
        <v>18.73</v>
      </c>
      <c r="I351" s="70">
        <v>0.14000000000000001</v>
      </c>
      <c r="J351" s="70">
        <v>-58.25</v>
      </c>
      <c r="K351" s="70">
        <v>4.08</v>
      </c>
      <c r="L351" s="64">
        <f t="shared" si="5"/>
        <v>849.42</v>
      </c>
    </row>
    <row r="352" spans="1:12" x14ac:dyDescent="0.25">
      <c r="A352" s="65">
        <v>2062</v>
      </c>
      <c r="B352" s="65" t="s">
        <v>229</v>
      </c>
      <c r="C352" s="65" t="s">
        <v>605</v>
      </c>
      <c r="D352" s="65">
        <v>4</v>
      </c>
      <c r="E352" s="65"/>
      <c r="F352" s="70">
        <v>-335.52</v>
      </c>
      <c r="G352" s="70">
        <v>-12.99</v>
      </c>
      <c r="H352" s="70">
        <v>18.579999999999998</v>
      </c>
      <c r="I352" s="70">
        <v>-0.6</v>
      </c>
      <c r="J352" s="70">
        <v>-19.989999999999998</v>
      </c>
      <c r="K352" s="70">
        <v>5.94</v>
      </c>
      <c r="L352" s="64">
        <f t="shared" si="5"/>
        <v>335.52</v>
      </c>
    </row>
    <row r="353" spans="1:12" x14ac:dyDescent="0.25">
      <c r="A353" s="65">
        <v>47</v>
      </c>
      <c r="B353" s="65" t="s">
        <v>229</v>
      </c>
      <c r="C353" s="65" t="s">
        <v>284</v>
      </c>
      <c r="D353" s="65">
        <v>0</v>
      </c>
      <c r="E353" s="65"/>
      <c r="F353" s="70">
        <v>-406.54</v>
      </c>
      <c r="G353" s="70">
        <v>-1.73</v>
      </c>
      <c r="H353" s="70">
        <v>18.559999999999999</v>
      </c>
      <c r="I353" s="70">
        <v>-0.1</v>
      </c>
      <c r="J353" s="70">
        <v>-21.49</v>
      </c>
      <c r="K353" s="70">
        <v>-0.95</v>
      </c>
      <c r="L353" s="64">
        <f t="shared" si="5"/>
        <v>406.54</v>
      </c>
    </row>
    <row r="354" spans="1:12" x14ac:dyDescent="0.25">
      <c r="A354" s="65">
        <v>2068</v>
      </c>
      <c r="B354" s="65" t="s">
        <v>229</v>
      </c>
      <c r="C354" s="65" t="s">
        <v>617</v>
      </c>
      <c r="D354" s="65">
        <v>4</v>
      </c>
      <c r="E354" s="65"/>
      <c r="F354" s="70">
        <v>-822.47</v>
      </c>
      <c r="G354" s="70">
        <v>-11.29</v>
      </c>
      <c r="H354" s="70">
        <v>18.5</v>
      </c>
      <c r="I354" s="70">
        <v>-0.21</v>
      </c>
      <c r="J354" s="70">
        <v>-50.9</v>
      </c>
      <c r="K354" s="70">
        <v>4.95</v>
      </c>
      <c r="L354" s="64">
        <f t="shared" si="5"/>
        <v>822.47</v>
      </c>
    </row>
    <row r="355" spans="1:12" x14ac:dyDescent="0.25">
      <c r="A355" s="65">
        <v>2206</v>
      </c>
      <c r="B355" s="65" t="s">
        <v>229</v>
      </c>
      <c r="C355" s="65" t="s">
        <v>749</v>
      </c>
      <c r="D355" s="65">
        <v>4</v>
      </c>
      <c r="E355" s="65"/>
      <c r="F355" s="70">
        <v>-822.39</v>
      </c>
      <c r="G355" s="70">
        <v>-11.23</v>
      </c>
      <c r="H355" s="70">
        <v>18.37</v>
      </c>
      <c r="I355" s="70">
        <v>-0.21</v>
      </c>
      <c r="J355" s="70">
        <v>-50.58</v>
      </c>
      <c r="K355" s="70">
        <v>4.93</v>
      </c>
      <c r="L355" s="64">
        <f t="shared" si="5"/>
        <v>822.39</v>
      </c>
    </row>
    <row r="356" spans="1:12" x14ac:dyDescent="0.25">
      <c r="A356" s="65">
        <v>2200</v>
      </c>
      <c r="B356" s="65" t="s">
        <v>229</v>
      </c>
      <c r="C356" s="65" t="s">
        <v>737</v>
      </c>
      <c r="D356" s="65">
        <v>4</v>
      </c>
      <c r="E356" s="65"/>
      <c r="F356" s="70">
        <v>-334.01</v>
      </c>
      <c r="G356" s="70">
        <v>-12.97</v>
      </c>
      <c r="H356" s="70">
        <v>18.190000000000001</v>
      </c>
      <c r="I356" s="70">
        <v>-0.6</v>
      </c>
      <c r="J356" s="70">
        <v>-19.670000000000002</v>
      </c>
      <c r="K356" s="70">
        <v>5.93</v>
      </c>
      <c r="L356" s="64">
        <f t="shared" si="5"/>
        <v>334.01</v>
      </c>
    </row>
    <row r="357" spans="1:12" x14ac:dyDescent="0.25">
      <c r="A357" s="65">
        <v>2066</v>
      </c>
      <c r="B357" s="65" t="s">
        <v>229</v>
      </c>
      <c r="C357" s="65" t="s">
        <v>613</v>
      </c>
      <c r="D357" s="65">
        <v>4</v>
      </c>
      <c r="E357" s="65"/>
      <c r="F357" s="70">
        <v>-706.77</v>
      </c>
      <c r="G357" s="70">
        <v>-13.86</v>
      </c>
      <c r="H357" s="70">
        <v>18.13</v>
      </c>
      <c r="I357" s="70">
        <v>-0.41</v>
      </c>
      <c r="J357" s="70">
        <v>-34.85</v>
      </c>
      <c r="K357" s="70">
        <v>6.16</v>
      </c>
      <c r="L357" s="64">
        <f t="shared" si="5"/>
        <v>706.77</v>
      </c>
    </row>
    <row r="358" spans="1:12" x14ac:dyDescent="0.25">
      <c r="A358" s="65">
        <v>2550</v>
      </c>
      <c r="B358" s="65" t="s">
        <v>229</v>
      </c>
      <c r="C358" s="65" t="s">
        <v>1076</v>
      </c>
      <c r="D358" s="65">
        <v>0</v>
      </c>
      <c r="E358" s="65"/>
      <c r="F358" s="70">
        <v>-405.78</v>
      </c>
      <c r="G358" s="70">
        <v>-1.7</v>
      </c>
      <c r="H358" s="70">
        <v>18.11</v>
      </c>
      <c r="I358" s="70">
        <v>-0.09</v>
      </c>
      <c r="J358" s="70">
        <v>-21.79</v>
      </c>
      <c r="K358" s="70">
        <v>-0.93</v>
      </c>
      <c r="L358" s="64">
        <f t="shared" si="5"/>
        <v>405.78</v>
      </c>
    </row>
    <row r="359" spans="1:12" x14ac:dyDescent="0.25">
      <c r="A359" s="65">
        <v>48</v>
      </c>
      <c r="B359" s="65" t="s">
        <v>229</v>
      </c>
      <c r="C359" s="65" t="s">
        <v>287</v>
      </c>
      <c r="D359" s="65">
        <v>4</v>
      </c>
      <c r="E359" s="65"/>
      <c r="F359" s="70">
        <v>-432.85</v>
      </c>
      <c r="G359" s="70">
        <v>-1.51</v>
      </c>
      <c r="H359" s="70">
        <v>18.05</v>
      </c>
      <c r="I359" s="70">
        <v>-7.0000000000000007E-2</v>
      </c>
      <c r="J359" s="70">
        <v>-28.92</v>
      </c>
      <c r="K359" s="70">
        <v>0.66</v>
      </c>
      <c r="L359" s="64">
        <f t="shared" si="5"/>
        <v>432.85</v>
      </c>
    </row>
    <row r="360" spans="1:12" x14ac:dyDescent="0.25">
      <c r="A360" s="65">
        <v>2551</v>
      </c>
      <c r="B360" s="65" t="s">
        <v>229</v>
      </c>
      <c r="C360" s="65" t="s">
        <v>1079</v>
      </c>
      <c r="D360" s="65">
        <v>4</v>
      </c>
      <c r="E360" s="65"/>
      <c r="F360" s="70">
        <v>-432.24</v>
      </c>
      <c r="G360" s="70">
        <v>-1.49</v>
      </c>
      <c r="H360" s="70">
        <v>17.88</v>
      </c>
      <c r="I360" s="70">
        <v>-7.0000000000000007E-2</v>
      </c>
      <c r="J360" s="70">
        <v>-28.73</v>
      </c>
      <c r="K360" s="70">
        <v>0.65</v>
      </c>
      <c r="L360" s="64">
        <f t="shared" si="5"/>
        <v>432.24</v>
      </c>
    </row>
    <row r="361" spans="1:12" x14ac:dyDescent="0.25">
      <c r="A361" s="65">
        <v>2204</v>
      </c>
      <c r="B361" s="65" t="s">
        <v>229</v>
      </c>
      <c r="C361" s="65" t="s">
        <v>745</v>
      </c>
      <c r="D361" s="65">
        <v>4</v>
      </c>
      <c r="E361" s="65"/>
      <c r="F361" s="70">
        <v>-706.35</v>
      </c>
      <c r="G361" s="70">
        <v>-13.79</v>
      </c>
      <c r="H361" s="70">
        <v>17.82</v>
      </c>
      <c r="I361" s="70">
        <v>-0.41</v>
      </c>
      <c r="J361" s="70">
        <v>-34.369999999999997</v>
      </c>
      <c r="K361" s="70">
        <v>6.13</v>
      </c>
      <c r="L361" s="64">
        <f t="shared" si="5"/>
        <v>706.35</v>
      </c>
    </row>
    <row r="362" spans="1:12" x14ac:dyDescent="0.25">
      <c r="A362" s="65">
        <v>1997</v>
      </c>
      <c r="B362" s="65" t="s">
        <v>229</v>
      </c>
      <c r="C362" s="65" t="s">
        <v>546</v>
      </c>
      <c r="D362" s="65">
        <v>0</v>
      </c>
      <c r="E362" s="65"/>
      <c r="F362" s="70">
        <v>-708.9</v>
      </c>
      <c r="G362" s="70">
        <v>-13.89</v>
      </c>
      <c r="H362" s="70">
        <v>17.59</v>
      </c>
      <c r="I362" s="70">
        <v>-0.41</v>
      </c>
      <c r="J362" s="70">
        <v>-31.94</v>
      </c>
      <c r="K362" s="70">
        <v>-7.54</v>
      </c>
      <c r="L362" s="64">
        <f t="shared" si="5"/>
        <v>708.9</v>
      </c>
    </row>
    <row r="363" spans="1:12" x14ac:dyDescent="0.25">
      <c r="A363" s="65">
        <v>2130</v>
      </c>
      <c r="B363" s="65" t="s">
        <v>229</v>
      </c>
      <c r="C363" s="65" t="s">
        <v>669</v>
      </c>
      <c r="D363" s="65">
        <v>4</v>
      </c>
      <c r="E363" s="65"/>
      <c r="F363" s="70">
        <v>-213.41</v>
      </c>
      <c r="G363" s="70">
        <v>-12.05</v>
      </c>
      <c r="H363" s="70">
        <v>17.579999999999998</v>
      </c>
      <c r="I363" s="70">
        <v>-0.63</v>
      </c>
      <c r="J363" s="70">
        <v>-16.63</v>
      </c>
      <c r="K363" s="70">
        <v>5.53</v>
      </c>
      <c r="L363" s="64">
        <f t="shared" si="5"/>
        <v>213.41</v>
      </c>
    </row>
    <row r="364" spans="1:12" x14ac:dyDescent="0.25">
      <c r="A364" s="65">
        <v>2067</v>
      </c>
      <c r="B364" s="65" t="s">
        <v>229</v>
      </c>
      <c r="C364" s="65" t="s">
        <v>615</v>
      </c>
      <c r="D364" s="65">
        <v>4</v>
      </c>
      <c r="E364" s="65"/>
      <c r="F364" s="70">
        <v>-779.45</v>
      </c>
      <c r="G364" s="70">
        <v>-12.85</v>
      </c>
      <c r="H364" s="70">
        <v>17.54</v>
      </c>
      <c r="I364" s="70">
        <v>-0.31</v>
      </c>
      <c r="J364" s="70">
        <v>-40.44</v>
      </c>
      <c r="K364" s="70">
        <v>5.62</v>
      </c>
      <c r="L364" s="64">
        <f t="shared" si="5"/>
        <v>779.45</v>
      </c>
    </row>
    <row r="365" spans="1:12" x14ac:dyDescent="0.25">
      <c r="A365" s="65">
        <v>2205</v>
      </c>
      <c r="B365" s="65" t="s">
        <v>229</v>
      </c>
      <c r="C365" s="65" t="s">
        <v>747</v>
      </c>
      <c r="D365" s="65">
        <v>4</v>
      </c>
      <c r="E365" s="65"/>
      <c r="F365" s="70">
        <v>-779.35</v>
      </c>
      <c r="G365" s="70">
        <v>-12.78</v>
      </c>
      <c r="H365" s="70">
        <v>17.489999999999998</v>
      </c>
      <c r="I365" s="70">
        <v>-0.31</v>
      </c>
      <c r="J365" s="70">
        <v>-40.03</v>
      </c>
      <c r="K365" s="70">
        <v>5.58</v>
      </c>
      <c r="L365" s="64">
        <f t="shared" si="5"/>
        <v>779.35</v>
      </c>
    </row>
    <row r="366" spans="1:12" x14ac:dyDescent="0.25">
      <c r="A366" s="65">
        <v>1999</v>
      </c>
      <c r="B366" s="65" t="s">
        <v>229</v>
      </c>
      <c r="C366" s="65" t="s">
        <v>550</v>
      </c>
      <c r="D366" s="65">
        <v>0</v>
      </c>
      <c r="E366" s="65"/>
      <c r="F366" s="70">
        <v>-823.35</v>
      </c>
      <c r="G366" s="70">
        <v>-11.31</v>
      </c>
      <c r="H366" s="70">
        <v>17.3</v>
      </c>
      <c r="I366" s="70">
        <v>-0.21</v>
      </c>
      <c r="J366" s="70">
        <v>-40.630000000000003</v>
      </c>
      <c r="K366" s="70">
        <v>-6.31</v>
      </c>
      <c r="L366" s="64">
        <f t="shared" si="5"/>
        <v>823.35</v>
      </c>
    </row>
    <row r="367" spans="1:12" x14ac:dyDescent="0.25">
      <c r="A367" s="65">
        <v>2275</v>
      </c>
      <c r="B367" s="65" t="s">
        <v>229</v>
      </c>
      <c r="C367" s="65" t="s">
        <v>814</v>
      </c>
      <c r="D367" s="65">
        <v>0</v>
      </c>
      <c r="E367" s="65"/>
      <c r="F367" s="70">
        <v>-823.15</v>
      </c>
      <c r="G367" s="70">
        <v>-11.21</v>
      </c>
      <c r="H367" s="70">
        <v>17.09</v>
      </c>
      <c r="I367" s="70">
        <v>-0.21</v>
      </c>
      <c r="J367" s="70">
        <v>-40.9</v>
      </c>
      <c r="K367" s="70">
        <v>-6.26</v>
      </c>
      <c r="L367" s="64">
        <f t="shared" si="5"/>
        <v>823.15</v>
      </c>
    </row>
    <row r="368" spans="1:12" x14ac:dyDescent="0.25">
      <c r="A368" s="65">
        <v>2273</v>
      </c>
      <c r="B368" s="65" t="s">
        <v>229</v>
      </c>
      <c r="C368" s="65" t="s">
        <v>810</v>
      </c>
      <c r="D368" s="65">
        <v>0</v>
      </c>
      <c r="E368" s="65"/>
      <c r="F368" s="70">
        <v>-708.23</v>
      </c>
      <c r="G368" s="70">
        <v>-13.76</v>
      </c>
      <c r="H368" s="70">
        <v>16.98</v>
      </c>
      <c r="I368" s="70">
        <v>-0.41</v>
      </c>
      <c r="J368" s="70">
        <v>-32.549999999999997</v>
      </c>
      <c r="K368" s="70">
        <v>-7.48</v>
      </c>
      <c r="L368" s="64">
        <f t="shared" si="5"/>
        <v>708.23</v>
      </c>
    </row>
    <row r="369" spans="1:12" x14ac:dyDescent="0.25">
      <c r="A369" s="65">
        <v>2047</v>
      </c>
      <c r="B369" s="65" t="s">
        <v>229</v>
      </c>
      <c r="C369" s="65" t="s">
        <v>575</v>
      </c>
      <c r="D369" s="65">
        <v>4</v>
      </c>
      <c r="E369" s="65"/>
      <c r="F369" s="70">
        <v>-434.96</v>
      </c>
      <c r="G369" s="70">
        <v>-13.66</v>
      </c>
      <c r="H369" s="70">
        <v>16.850000000000001</v>
      </c>
      <c r="I369" s="70">
        <v>-0.55000000000000004</v>
      </c>
      <c r="J369" s="70">
        <v>-19.68</v>
      </c>
      <c r="K369" s="70">
        <v>7.27</v>
      </c>
      <c r="L369" s="64">
        <f t="shared" si="5"/>
        <v>434.96</v>
      </c>
    </row>
    <row r="370" spans="1:12" x14ac:dyDescent="0.25">
      <c r="A370" s="65">
        <v>1998</v>
      </c>
      <c r="B370" s="65" t="s">
        <v>229</v>
      </c>
      <c r="C370" s="65" t="s">
        <v>548</v>
      </c>
      <c r="D370" s="65">
        <v>0</v>
      </c>
      <c r="E370" s="65"/>
      <c r="F370" s="70">
        <v>-780.95</v>
      </c>
      <c r="G370" s="70">
        <v>-12.88</v>
      </c>
      <c r="H370" s="70">
        <v>16.670000000000002</v>
      </c>
      <c r="I370" s="70">
        <v>-0.31</v>
      </c>
      <c r="J370" s="70">
        <v>-35.49</v>
      </c>
      <c r="K370" s="70">
        <v>-7.1</v>
      </c>
      <c r="L370" s="64">
        <f t="shared" si="5"/>
        <v>780.95</v>
      </c>
    </row>
    <row r="371" spans="1:12" x14ac:dyDescent="0.25">
      <c r="A371" s="65">
        <v>2125</v>
      </c>
      <c r="B371" s="65" t="s">
        <v>229</v>
      </c>
      <c r="C371" s="65" t="s">
        <v>658</v>
      </c>
      <c r="D371" s="65">
        <v>0</v>
      </c>
      <c r="E371" s="65"/>
      <c r="F371" s="70">
        <v>509.96</v>
      </c>
      <c r="G371" s="70">
        <v>-7.79</v>
      </c>
      <c r="H371" s="70">
        <v>16.48</v>
      </c>
      <c r="I371" s="70">
        <v>-0.74</v>
      </c>
      <c r="J371" s="70">
        <v>59.77</v>
      </c>
      <c r="K371" s="70">
        <v>-3.95</v>
      </c>
      <c r="L371" s="64">
        <f t="shared" si="5"/>
        <v>-509.96</v>
      </c>
    </row>
    <row r="372" spans="1:12" x14ac:dyDescent="0.25">
      <c r="A372" s="65">
        <v>2185</v>
      </c>
      <c r="B372" s="65" t="s">
        <v>229</v>
      </c>
      <c r="C372" s="65" t="s">
        <v>707</v>
      </c>
      <c r="D372" s="65">
        <v>4</v>
      </c>
      <c r="E372" s="65"/>
      <c r="F372" s="70">
        <v>-436.19</v>
      </c>
      <c r="G372" s="70">
        <v>-13.68</v>
      </c>
      <c r="H372" s="70">
        <v>16.48</v>
      </c>
      <c r="I372" s="70">
        <v>-0.55000000000000004</v>
      </c>
      <c r="J372" s="70">
        <v>-19.39</v>
      </c>
      <c r="K372" s="70">
        <v>7.29</v>
      </c>
      <c r="L372" s="64">
        <f t="shared" si="5"/>
        <v>436.19</v>
      </c>
    </row>
    <row r="373" spans="1:12" x14ac:dyDescent="0.25">
      <c r="A373" s="65">
        <v>2274</v>
      </c>
      <c r="B373" s="65" t="s">
        <v>229</v>
      </c>
      <c r="C373" s="65" t="s">
        <v>812</v>
      </c>
      <c r="D373" s="65">
        <v>0</v>
      </c>
      <c r="E373" s="65"/>
      <c r="F373" s="70">
        <v>-780.58</v>
      </c>
      <c r="G373" s="70">
        <v>-12.75</v>
      </c>
      <c r="H373" s="70">
        <v>16.45</v>
      </c>
      <c r="I373" s="70">
        <v>-0.31</v>
      </c>
      <c r="J373" s="70">
        <v>-35.9</v>
      </c>
      <c r="K373" s="70">
        <v>-7.03</v>
      </c>
      <c r="L373" s="64">
        <f t="shared" si="5"/>
        <v>780.58</v>
      </c>
    </row>
    <row r="374" spans="1:12" x14ac:dyDescent="0.25">
      <c r="A374" s="65">
        <v>2414</v>
      </c>
      <c r="B374" s="65" t="s">
        <v>229</v>
      </c>
      <c r="C374" s="65" t="s">
        <v>949</v>
      </c>
      <c r="D374" s="65">
        <v>4</v>
      </c>
      <c r="E374" s="65"/>
      <c r="F374" s="70">
        <v>-839.09</v>
      </c>
      <c r="G374" s="70">
        <v>-9.19</v>
      </c>
      <c r="H374" s="70">
        <v>16.36</v>
      </c>
      <c r="I374" s="70">
        <v>0.14000000000000001</v>
      </c>
      <c r="J374" s="70">
        <v>-57.04</v>
      </c>
      <c r="K374" s="70">
        <v>4.0599999999999996</v>
      </c>
      <c r="L374" s="64">
        <f t="shared" si="5"/>
        <v>839.09</v>
      </c>
    </row>
    <row r="375" spans="1:12" x14ac:dyDescent="0.25">
      <c r="A375" s="65">
        <v>1862</v>
      </c>
      <c r="B375" s="65" t="s">
        <v>229</v>
      </c>
      <c r="C375" s="65" t="s">
        <v>421</v>
      </c>
      <c r="D375" s="65">
        <v>4</v>
      </c>
      <c r="E375" s="65"/>
      <c r="F375" s="70">
        <v>-839.88</v>
      </c>
      <c r="G375" s="70">
        <v>-9.27</v>
      </c>
      <c r="H375" s="70">
        <v>16.260000000000002</v>
      </c>
      <c r="I375" s="70">
        <v>0.14000000000000001</v>
      </c>
      <c r="J375" s="70">
        <v>-57.41</v>
      </c>
      <c r="K375" s="70">
        <v>4.09</v>
      </c>
      <c r="L375" s="64">
        <f t="shared" si="5"/>
        <v>839.88</v>
      </c>
    </row>
    <row r="376" spans="1:12" x14ac:dyDescent="0.25">
      <c r="A376" s="65">
        <v>2061</v>
      </c>
      <c r="B376" s="65" t="s">
        <v>229</v>
      </c>
      <c r="C376" s="65" t="s">
        <v>602</v>
      </c>
      <c r="D376" s="65">
        <v>0</v>
      </c>
      <c r="E376" s="65"/>
      <c r="F376" s="70">
        <v>-216.02</v>
      </c>
      <c r="G376" s="70">
        <v>-12.06</v>
      </c>
      <c r="H376" s="70">
        <v>15.92</v>
      </c>
      <c r="I376" s="70">
        <v>-0.63</v>
      </c>
      <c r="J376" s="70">
        <v>-15.39</v>
      </c>
      <c r="K376" s="70">
        <v>-6.39</v>
      </c>
      <c r="L376" s="64">
        <f t="shared" si="5"/>
        <v>216.02</v>
      </c>
    </row>
    <row r="377" spans="1:12" x14ac:dyDescent="0.25">
      <c r="A377" s="65">
        <v>2483</v>
      </c>
      <c r="B377" s="65" t="s">
        <v>229</v>
      </c>
      <c r="C377" s="65" t="s">
        <v>1014</v>
      </c>
      <c r="D377" s="65">
        <v>0</v>
      </c>
      <c r="E377" s="65"/>
      <c r="F377" s="70">
        <v>-839.7</v>
      </c>
      <c r="G377" s="70">
        <v>-9.19</v>
      </c>
      <c r="H377" s="70">
        <v>15.7</v>
      </c>
      <c r="I377" s="70">
        <v>0.14000000000000001</v>
      </c>
      <c r="J377" s="70">
        <v>-53.02</v>
      </c>
      <c r="K377" s="70">
        <v>-5.23</v>
      </c>
      <c r="L377" s="64">
        <f t="shared" si="5"/>
        <v>839.7</v>
      </c>
    </row>
    <row r="378" spans="1:12" x14ac:dyDescent="0.25">
      <c r="A378" s="65">
        <v>48</v>
      </c>
      <c r="B378" s="65" t="s">
        <v>229</v>
      </c>
      <c r="C378" s="65" t="s">
        <v>286</v>
      </c>
      <c r="D378" s="65">
        <v>0</v>
      </c>
      <c r="E378" s="65"/>
      <c r="F378" s="70">
        <v>-428.93</v>
      </c>
      <c r="G378" s="70">
        <v>-1.51</v>
      </c>
      <c r="H378" s="70">
        <v>15.63</v>
      </c>
      <c r="I378" s="70">
        <v>-7.0000000000000007E-2</v>
      </c>
      <c r="J378" s="70">
        <v>-22.97</v>
      </c>
      <c r="K378" s="70">
        <v>-0.85</v>
      </c>
      <c r="L378" s="64">
        <f t="shared" si="5"/>
        <v>428.93</v>
      </c>
    </row>
    <row r="379" spans="1:12" x14ac:dyDescent="0.25">
      <c r="A379" s="65">
        <v>1793</v>
      </c>
      <c r="B379" s="65" t="s">
        <v>229</v>
      </c>
      <c r="C379" s="65" t="s">
        <v>354</v>
      </c>
      <c r="D379" s="65">
        <v>0</v>
      </c>
      <c r="E379" s="65"/>
      <c r="F379" s="70">
        <v>-840.78</v>
      </c>
      <c r="G379" s="70">
        <v>-9.27</v>
      </c>
      <c r="H379" s="70">
        <v>15.54</v>
      </c>
      <c r="I379" s="70">
        <v>0.14000000000000001</v>
      </c>
      <c r="J379" s="70">
        <v>-52.87</v>
      </c>
      <c r="K379" s="70">
        <v>-5.28</v>
      </c>
      <c r="L379" s="64">
        <f t="shared" si="5"/>
        <v>840.78</v>
      </c>
    </row>
    <row r="380" spans="1:12" x14ac:dyDescent="0.25">
      <c r="A380" s="65">
        <v>2199</v>
      </c>
      <c r="B380" s="65" t="s">
        <v>229</v>
      </c>
      <c r="C380" s="65" t="s">
        <v>734</v>
      </c>
      <c r="D380" s="65">
        <v>0</v>
      </c>
      <c r="E380" s="65"/>
      <c r="F380" s="70">
        <v>-214.72</v>
      </c>
      <c r="G380" s="70">
        <v>-12.04</v>
      </c>
      <c r="H380" s="70">
        <v>15.48</v>
      </c>
      <c r="I380" s="70">
        <v>-0.63</v>
      </c>
      <c r="J380" s="70">
        <v>-15.67</v>
      </c>
      <c r="K380" s="70">
        <v>-6.39</v>
      </c>
      <c r="L380" s="64">
        <f t="shared" si="5"/>
        <v>214.72</v>
      </c>
    </row>
    <row r="381" spans="1:12" x14ac:dyDescent="0.25">
      <c r="A381" s="65">
        <v>2551</v>
      </c>
      <c r="B381" s="65" t="s">
        <v>229</v>
      </c>
      <c r="C381" s="65" t="s">
        <v>1078</v>
      </c>
      <c r="D381" s="65">
        <v>0</v>
      </c>
      <c r="E381" s="65"/>
      <c r="F381" s="70">
        <v>-428.32</v>
      </c>
      <c r="G381" s="70">
        <v>-1.49</v>
      </c>
      <c r="H381" s="70">
        <v>15.46</v>
      </c>
      <c r="I381" s="70">
        <v>-7.0000000000000007E-2</v>
      </c>
      <c r="J381" s="70">
        <v>-23.11</v>
      </c>
      <c r="K381" s="70">
        <v>-0.83</v>
      </c>
      <c r="L381" s="64">
        <f t="shared" si="5"/>
        <v>428.32</v>
      </c>
    </row>
    <row r="382" spans="1:12" x14ac:dyDescent="0.25">
      <c r="A382" s="65">
        <v>2137</v>
      </c>
      <c r="B382" s="65" t="s">
        <v>229</v>
      </c>
      <c r="C382" s="65" t="s">
        <v>683</v>
      </c>
      <c r="D382" s="65">
        <v>4</v>
      </c>
      <c r="E382" s="65"/>
      <c r="F382" s="70">
        <v>-813.9</v>
      </c>
      <c r="G382" s="70">
        <v>-11.26</v>
      </c>
      <c r="H382" s="70">
        <v>15.11</v>
      </c>
      <c r="I382" s="70">
        <v>-0.21</v>
      </c>
      <c r="J382" s="70">
        <v>-49.75</v>
      </c>
      <c r="K382" s="70">
        <v>4.9400000000000004</v>
      </c>
      <c r="L382" s="64">
        <f t="shared" si="5"/>
        <v>813.9</v>
      </c>
    </row>
    <row r="383" spans="1:12" x14ac:dyDescent="0.25">
      <c r="A383" s="65">
        <v>2046</v>
      </c>
      <c r="B383" s="65" t="s">
        <v>229</v>
      </c>
      <c r="C383" s="65" t="s">
        <v>573</v>
      </c>
      <c r="D383" s="65">
        <v>4</v>
      </c>
      <c r="E383" s="65"/>
      <c r="F383" s="70">
        <v>-528.52</v>
      </c>
      <c r="G383" s="70">
        <v>-14.15</v>
      </c>
      <c r="H383" s="70">
        <v>15.03</v>
      </c>
      <c r="I383" s="70">
        <v>-0.51</v>
      </c>
      <c r="J383" s="70">
        <v>-16.440000000000001</v>
      </c>
      <c r="K383" s="70">
        <v>7.55</v>
      </c>
      <c r="L383" s="64">
        <f t="shared" si="5"/>
        <v>528.52</v>
      </c>
    </row>
    <row r="384" spans="1:12" x14ac:dyDescent="0.25">
      <c r="A384" s="65">
        <v>2184</v>
      </c>
      <c r="B384" s="65" t="s">
        <v>229</v>
      </c>
      <c r="C384" s="65" t="s">
        <v>705</v>
      </c>
      <c r="D384" s="65">
        <v>4</v>
      </c>
      <c r="E384" s="65"/>
      <c r="F384" s="70">
        <v>-529.38</v>
      </c>
      <c r="G384" s="70">
        <v>-14.18</v>
      </c>
      <c r="H384" s="70">
        <v>14.84</v>
      </c>
      <c r="I384" s="70">
        <v>-0.51</v>
      </c>
      <c r="J384" s="70">
        <v>-16.14</v>
      </c>
      <c r="K384" s="70">
        <v>7.57</v>
      </c>
      <c r="L384" s="64">
        <f t="shared" si="5"/>
        <v>529.38</v>
      </c>
    </row>
    <row r="385" spans="1:12" x14ac:dyDescent="0.25">
      <c r="A385" s="65">
        <v>2129</v>
      </c>
      <c r="B385" s="65" t="s">
        <v>229</v>
      </c>
      <c r="C385" s="65" t="s">
        <v>666</v>
      </c>
      <c r="D385" s="65">
        <v>0</v>
      </c>
      <c r="E385" s="65"/>
      <c r="F385" s="70">
        <v>110.53</v>
      </c>
      <c r="G385" s="70">
        <v>-10.77</v>
      </c>
      <c r="H385" s="70">
        <v>14.47</v>
      </c>
      <c r="I385" s="70">
        <v>-0.67</v>
      </c>
      <c r="J385" s="70">
        <v>17.73</v>
      </c>
      <c r="K385" s="70">
        <v>-5.7</v>
      </c>
      <c r="L385" s="64">
        <f t="shared" si="5"/>
        <v>-110.53</v>
      </c>
    </row>
    <row r="386" spans="1:12" x14ac:dyDescent="0.25">
      <c r="A386" s="65">
        <v>2048</v>
      </c>
      <c r="B386" s="65" t="s">
        <v>229</v>
      </c>
      <c r="C386" s="65" t="s">
        <v>577</v>
      </c>
      <c r="D386" s="65">
        <v>4</v>
      </c>
      <c r="E386" s="65"/>
      <c r="F386" s="70">
        <v>-331.88</v>
      </c>
      <c r="G386" s="70">
        <v>-12.98</v>
      </c>
      <c r="H386" s="70">
        <v>14.07</v>
      </c>
      <c r="I386" s="70">
        <v>-0.59</v>
      </c>
      <c r="J386" s="70">
        <v>-19.34</v>
      </c>
      <c r="K386" s="70">
        <v>6.9</v>
      </c>
      <c r="L386" s="64">
        <f t="shared" si="5"/>
        <v>331.88</v>
      </c>
    </row>
    <row r="387" spans="1:12" x14ac:dyDescent="0.25">
      <c r="A387" s="65">
        <v>2345</v>
      </c>
      <c r="B387" s="65" t="s">
        <v>229</v>
      </c>
      <c r="C387" s="65" t="s">
        <v>883</v>
      </c>
      <c r="D387" s="65">
        <v>4</v>
      </c>
      <c r="E387" s="65"/>
      <c r="F387" s="70">
        <v>-830.01</v>
      </c>
      <c r="G387" s="70">
        <v>-9.1999999999999993</v>
      </c>
      <c r="H387" s="70">
        <v>13.84</v>
      </c>
      <c r="I387" s="70">
        <v>0.14000000000000001</v>
      </c>
      <c r="J387" s="70">
        <v>-56.26</v>
      </c>
      <c r="K387" s="70">
        <v>4.0599999999999996</v>
      </c>
      <c r="L387" s="64">
        <f t="shared" ref="L387:L450" si="6">F387*-1</f>
        <v>830.01</v>
      </c>
    </row>
    <row r="388" spans="1:12" x14ac:dyDescent="0.25">
      <c r="A388" s="65">
        <v>1931</v>
      </c>
      <c r="B388" s="65" t="s">
        <v>229</v>
      </c>
      <c r="C388" s="65" t="s">
        <v>487</v>
      </c>
      <c r="D388" s="65">
        <v>4</v>
      </c>
      <c r="E388" s="65"/>
      <c r="F388" s="70">
        <v>-830.52</v>
      </c>
      <c r="G388" s="70">
        <v>-9.26</v>
      </c>
      <c r="H388" s="70">
        <v>13.8</v>
      </c>
      <c r="I388" s="70">
        <v>0.14000000000000001</v>
      </c>
      <c r="J388" s="70">
        <v>-56.62</v>
      </c>
      <c r="K388" s="70">
        <v>4.08</v>
      </c>
      <c r="L388" s="64">
        <f t="shared" si="6"/>
        <v>830.52</v>
      </c>
    </row>
    <row r="389" spans="1:12" x14ac:dyDescent="0.25">
      <c r="A389" s="65">
        <v>2186</v>
      </c>
      <c r="B389" s="65" t="s">
        <v>229</v>
      </c>
      <c r="C389" s="65" t="s">
        <v>709</v>
      </c>
      <c r="D389" s="65">
        <v>4</v>
      </c>
      <c r="E389" s="65"/>
      <c r="F389" s="70">
        <v>-333.41</v>
      </c>
      <c r="G389" s="70">
        <v>-13</v>
      </c>
      <c r="H389" s="70">
        <v>13.79</v>
      </c>
      <c r="I389" s="70">
        <v>-0.59</v>
      </c>
      <c r="J389" s="70">
        <v>-19.059999999999999</v>
      </c>
      <c r="K389" s="70">
        <v>6.91</v>
      </c>
      <c r="L389" s="64">
        <f t="shared" si="6"/>
        <v>333.41</v>
      </c>
    </row>
    <row r="390" spans="1:12" x14ac:dyDescent="0.25">
      <c r="A390" s="65">
        <v>2068</v>
      </c>
      <c r="B390" s="65" t="s">
        <v>229</v>
      </c>
      <c r="C390" s="65" t="s">
        <v>616</v>
      </c>
      <c r="D390" s="65">
        <v>0</v>
      </c>
      <c r="E390" s="65"/>
      <c r="F390" s="70">
        <v>-814.63</v>
      </c>
      <c r="G390" s="70">
        <v>-11.29</v>
      </c>
      <c r="H390" s="70">
        <v>13.66</v>
      </c>
      <c r="I390" s="70">
        <v>-0.21</v>
      </c>
      <c r="J390" s="70">
        <v>-39.43</v>
      </c>
      <c r="K390" s="70">
        <v>-6.3</v>
      </c>
      <c r="L390" s="64">
        <f t="shared" si="6"/>
        <v>814.63</v>
      </c>
    </row>
    <row r="391" spans="1:12" x14ac:dyDescent="0.25">
      <c r="A391" s="65">
        <v>2206</v>
      </c>
      <c r="B391" s="65" t="s">
        <v>229</v>
      </c>
      <c r="C391" s="65" t="s">
        <v>748</v>
      </c>
      <c r="D391" s="65">
        <v>0</v>
      </c>
      <c r="E391" s="65"/>
      <c r="F391" s="70">
        <v>-814.55</v>
      </c>
      <c r="G391" s="70">
        <v>-11.23</v>
      </c>
      <c r="H391" s="70">
        <v>13.54</v>
      </c>
      <c r="I391" s="70">
        <v>-0.21</v>
      </c>
      <c r="J391" s="70">
        <v>-39.72</v>
      </c>
      <c r="K391" s="70">
        <v>-6.27</v>
      </c>
      <c r="L391" s="64">
        <f t="shared" si="6"/>
        <v>814.55</v>
      </c>
    </row>
    <row r="392" spans="1:12" x14ac:dyDescent="0.25">
      <c r="A392" s="65">
        <v>2134</v>
      </c>
      <c r="B392" s="65" t="s">
        <v>229</v>
      </c>
      <c r="C392" s="65" t="s">
        <v>676</v>
      </c>
      <c r="D392" s="65">
        <v>0</v>
      </c>
      <c r="E392" s="65"/>
      <c r="F392" s="70">
        <v>-607.32000000000005</v>
      </c>
      <c r="G392" s="70">
        <v>-14.22</v>
      </c>
      <c r="H392" s="70">
        <v>13.48</v>
      </c>
      <c r="I392" s="70">
        <v>-0.48</v>
      </c>
      <c r="J392" s="70">
        <v>-12.34</v>
      </c>
      <c r="K392" s="70">
        <v>-7.62</v>
      </c>
      <c r="L392" s="64">
        <f t="shared" si="6"/>
        <v>607.32000000000005</v>
      </c>
    </row>
    <row r="393" spans="1:12" x14ac:dyDescent="0.25">
      <c r="A393" s="65">
        <v>2064</v>
      </c>
      <c r="B393" s="65" t="s">
        <v>229</v>
      </c>
      <c r="C393" s="65" t="s">
        <v>609</v>
      </c>
      <c r="D393" s="65">
        <v>4</v>
      </c>
      <c r="E393" s="65"/>
      <c r="F393" s="70">
        <v>-532.15</v>
      </c>
      <c r="G393" s="70">
        <v>-14.16</v>
      </c>
      <c r="H393" s="70">
        <v>13.34</v>
      </c>
      <c r="I393" s="70">
        <v>-0.51</v>
      </c>
      <c r="J393" s="70">
        <v>-15.25</v>
      </c>
      <c r="K393" s="70">
        <v>6.45</v>
      </c>
      <c r="L393" s="64">
        <f t="shared" si="6"/>
        <v>532.15</v>
      </c>
    </row>
    <row r="394" spans="1:12" x14ac:dyDescent="0.25">
      <c r="A394" s="65">
        <v>2063</v>
      </c>
      <c r="B394" s="65" t="s">
        <v>229</v>
      </c>
      <c r="C394" s="65" t="s">
        <v>607</v>
      </c>
      <c r="D394" s="65">
        <v>4</v>
      </c>
      <c r="E394" s="65"/>
      <c r="F394" s="70">
        <v>-438.81</v>
      </c>
      <c r="G394" s="70">
        <v>-13.7</v>
      </c>
      <c r="H394" s="70">
        <v>13.27</v>
      </c>
      <c r="I394" s="70">
        <v>-0.55000000000000004</v>
      </c>
      <c r="J394" s="70">
        <v>-16.760000000000002</v>
      </c>
      <c r="K394" s="70">
        <v>6.26</v>
      </c>
      <c r="L394" s="64">
        <f t="shared" si="6"/>
        <v>438.81</v>
      </c>
    </row>
    <row r="395" spans="1:12" x14ac:dyDescent="0.25">
      <c r="A395" s="65">
        <v>2136</v>
      </c>
      <c r="B395" s="65" t="s">
        <v>229</v>
      </c>
      <c r="C395" s="65" t="s">
        <v>681</v>
      </c>
      <c r="D395" s="65">
        <v>4</v>
      </c>
      <c r="E395" s="65"/>
      <c r="F395" s="70">
        <v>-771.49</v>
      </c>
      <c r="G395" s="70">
        <v>-12.82</v>
      </c>
      <c r="H395" s="70">
        <v>13.19</v>
      </c>
      <c r="I395" s="70">
        <v>-0.31</v>
      </c>
      <c r="J395" s="70">
        <v>-38.64</v>
      </c>
      <c r="K395" s="70">
        <v>5.6</v>
      </c>
      <c r="L395" s="64">
        <f t="shared" si="6"/>
        <v>771.49</v>
      </c>
    </row>
    <row r="396" spans="1:12" x14ac:dyDescent="0.25">
      <c r="A396" s="65">
        <v>2414</v>
      </c>
      <c r="B396" s="65" t="s">
        <v>229</v>
      </c>
      <c r="C396" s="65" t="s">
        <v>948</v>
      </c>
      <c r="D396" s="65">
        <v>0</v>
      </c>
      <c r="E396" s="65"/>
      <c r="F396" s="70">
        <v>-830.45</v>
      </c>
      <c r="G396" s="70">
        <v>-9.19</v>
      </c>
      <c r="H396" s="70">
        <v>13.17</v>
      </c>
      <c r="I396" s="70">
        <v>0.14000000000000001</v>
      </c>
      <c r="J396" s="70">
        <v>-52.15</v>
      </c>
      <c r="K396" s="70">
        <v>-5.23</v>
      </c>
      <c r="L396" s="64">
        <f t="shared" si="6"/>
        <v>830.45</v>
      </c>
    </row>
    <row r="397" spans="1:12" x14ac:dyDescent="0.25">
      <c r="A397" s="65">
        <v>1862</v>
      </c>
      <c r="B397" s="65" t="s">
        <v>229</v>
      </c>
      <c r="C397" s="65" t="s">
        <v>420</v>
      </c>
      <c r="D397" s="65">
        <v>0</v>
      </c>
      <c r="E397" s="65"/>
      <c r="F397" s="70">
        <v>-831.24</v>
      </c>
      <c r="G397" s="70">
        <v>-9.27</v>
      </c>
      <c r="H397" s="70">
        <v>13.07</v>
      </c>
      <c r="I397" s="70">
        <v>0.14000000000000001</v>
      </c>
      <c r="J397" s="70">
        <v>-51.95</v>
      </c>
      <c r="K397" s="70">
        <v>-5.28</v>
      </c>
      <c r="L397" s="64">
        <f t="shared" si="6"/>
        <v>831.24</v>
      </c>
    </row>
    <row r="398" spans="1:12" x14ac:dyDescent="0.25">
      <c r="A398" s="65">
        <v>2201</v>
      </c>
      <c r="B398" s="65" t="s">
        <v>229</v>
      </c>
      <c r="C398" s="65" t="s">
        <v>739</v>
      </c>
      <c r="D398" s="65">
        <v>4</v>
      </c>
      <c r="E398" s="65"/>
      <c r="F398" s="70">
        <v>-437.58</v>
      </c>
      <c r="G398" s="70">
        <v>-13.67</v>
      </c>
      <c r="H398" s="70">
        <v>12.89</v>
      </c>
      <c r="I398" s="70">
        <v>-0.55000000000000004</v>
      </c>
      <c r="J398" s="70">
        <v>-16.43</v>
      </c>
      <c r="K398" s="70">
        <v>6.24</v>
      </c>
      <c r="L398" s="64">
        <f t="shared" si="6"/>
        <v>437.58</v>
      </c>
    </row>
    <row r="399" spans="1:12" x14ac:dyDescent="0.25">
      <c r="A399" s="65">
        <v>2202</v>
      </c>
      <c r="B399" s="65" t="s">
        <v>229</v>
      </c>
      <c r="C399" s="65" t="s">
        <v>741</v>
      </c>
      <c r="D399" s="65">
        <v>4</v>
      </c>
      <c r="E399" s="65"/>
      <c r="F399" s="70">
        <v>-531.28</v>
      </c>
      <c r="G399" s="70">
        <v>-14.13</v>
      </c>
      <c r="H399" s="70">
        <v>12.88</v>
      </c>
      <c r="I399" s="70">
        <v>-0.51</v>
      </c>
      <c r="J399" s="70">
        <v>-14.9</v>
      </c>
      <c r="K399" s="70">
        <v>6.43</v>
      </c>
      <c r="L399" s="64">
        <f t="shared" si="6"/>
        <v>531.28</v>
      </c>
    </row>
    <row r="400" spans="1:12" x14ac:dyDescent="0.25">
      <c r="A400" s="65">
        <v>2455</v>
      </c>
      <c r="B400" s="65" t="s">
        <v>229</v>
      </c>
      <c r="C400" s="65" t="s">
        <v>959</v>
      </c>
      <c r="D400" s="65">
        <v>4</v>
      </c>
      <c r="E400" s="65"/>
      <c r="F400" s="70">
        <v>-846.75</v>
      </c>
      <c r="G400" s="70">
        <v>-9.2899999999999991</v>
      </c>
      <c r="H400" s="70">
        <v>12.48</v>
      </c>
      <c r="I400" s="70">
        <v>0.14000000000000001</v>
      </c>
      <c r="J400" s="70">
        <v>-56.45</v>
      </c>
      <c r="K400" s="70">
        <v>5.29</v>
      </c>
      <c r="L400" s="64">
        <f t="shared" si="6"/>
        <v>846.75</v>
      </c>
    </row>
    <row r="401" spans="1:12" x14ac:dyDescent="0.25">
      <c r="A401" s="65">
        <v>2135</v>
      </c>
      <c r="B401" s="65" t="s">
        <v>229</v>
      </c>
      <c r="C401" s="65" t="s">
        <v>679</v>
      </c>
      <c r="D401" s="65">
        <v>4</v>
      </c>
      <c r="E401" s="65"/>
      <c r="F401" s="70">
        <v>-699.43</v>
      </c>
      <c r="G401" s="70">
        <v>-13.83</v>
      </c>
      <c r="H401" s="70">
        <v>12.43</v>
      </c>
      <c r="I401" s="70">
        <v>-0.41</v>
      </c>
      <c r="J401" s="70">
        <v>-32.51</v>
      </c>
      <c r="K401" s="70">
        <v>6.15</v>
      </c>
      <c r="L401" s="64">
        <f t="shared" si="6"/>
        <v>699.43</v>
      </c>
    </row>
    <row r="402" spans="1:12" x14ac:dyDescent="0.25">
      <c r="A402" s="65">
        <v>2131</v>
      </c>
      <c r="B402" s="65" t="s">
        <v>229</v>
      </c>
      <c r="C402" s="65" t="s">
        <v>671</v>
      </c>
      <c r="D402" s="65">
        <v>4</v>
      </c>
      <c r="E402" s="65"/>
      <c r="F402" s="70">
        <v>-330.08</v>
      </c>
      <c r="G402" s="70">
        <v>-12.98</v>
      </c>
      <c r="H402" s="70">
        <v>11.5</v>
      </c>
      <c r="I402" s="70">
        <v>-0.6</v>
      </c>
      <c r="J402" s="70">
        <v>-17</v>
      </c>
      <c r="K402" s="70">
        <v>5.94</v>
      </c>
      <c r="L402" s="64">
        <f t="shared" si="6"/>
        <v>330.08</v>
      </c>
    </row>
    <row r="403" spans="1:12" x14ac:dyDescent="0.25">
      <c r="A403" s="65">
        <v>2276</v>
      </c>
      <c r="B403" s="65" t="s">
        <v>229</v>
      </c>
      <c r="C403" s="65" t="s">
        <v>817</v>
      </c>
      <c r="D403" s="65">
        <v>4</v>
      </c>
      <c r="E403" s="65"/>
      <c r="F403" s="70">
        <v>-821</v>
      </c>
      <c r="G403" s="70">
        <v>-9.2100000000000009</v>
      </c>
      <c r="H403" s="70">
        <v>11.37</v>
      </c>
      <c r="I403" s="70">
        <v>0.14000000000000001</v>
      </c>
      <c r="J403" s="70">
        <v>-55.63</v>
      </c>
      <c r="K403" s="70">
        <v>4.0599999999999996</v>
      </c>
      <c r="L403" s="64">
        <f t="shared" si="6"/>
        <v>821</v>
      </c>
    </row>
    <row r="404" spans="1:12" x14ac:dyDescent="0.25">
      <c r="A404" s="65">
        <v>2000</v>
      </c>
      <c r="B404" s="65" t="s">
        <v>229</v>
      </c>
      <c r="C404" s="65" t="s">
        <v>553</v>
      </c>
      <c r="D404" s="65">
        <v>4</v>
      </c>
      <c r="E404" s="65"/>
      <c r="F404" s="70">
        <v>-821.18</v>
      </c>
      <c r="G404" s="70">
        <v>-9.26</v>
      </c>
      <c r="H404" s="70">
        <v>11.36</v>
      </c>
      <c r="I404" s="70">
        <v>0.14000000000000001</v>
      </c>
      <c r="J404" s="70">
        <v>-55.91</v>
      </c>
      <c r="K404" s="70">
        <v>4.08</v>
      </c>
      <c r="L404" s="64">
        <f t="shared" si="6"/>
        <v>821.18</v>
      </c>
    </row>
    <row r="405" spans="1:12" x14ac:dyDescent="0.25">
      <c r="A405" s="65">
        <v>2067</v>
      </c>
      <c r="B405" s="65" t="s">
        <v>229</v>
      </c>
      <c r="C405" s="65" t="s">
        <v>614</v>
      </c>
      <c r="D405" s="65">
        <v>0</v>
      </c>
      <c r="E405" s="65"/>
      <c r="F405" s="70">
        <v>-772.72</v>
      </c>
      <c r="G405" s="70">
        <v>-12.85</v>
      </c>
      <c r="H405" s="70">
        <v>11.25</v>
      </c>
      <c r="I405" s="70">
        <v>-0.31</v>
      </c>
      <c r="J405" s="70">
        <v>-33.76</v>
      </c>
      <c r="K405" s="70">
        <v>-7.08</v>
      </c>
      <c r="L405" s="64">
        <f t="shared" si="6"/>
        <v>772.72</v>
      </c>
    </row>
    <row r="406" spans="1:12" x14ac:dyDescent="0.25">
      <c r="A406" s="65">
        <v>2205</v>
      </c>
      <c r="B406" s="65" t="s">
        <v>229</v>
      </c>
      <c r="C406" s="65" t="s">
        <v>746</v>
      </c>
      <c r="D406" s="65">
        <v>0</v>
      </c>
      <c r="E406" s="65"/>
      <c r="F406" s="70">
        <v>-772.62</v>
      </c>
      <c r="G406" s="70">
        <v>-12.78</v>
      </c>
      <c r="H406" s="70">
        <v>11.2</v>
      </c>
      <c r="I406" s="70">
        <v>-0.31</v>
      </c>
      <c r="J406" s="70">
        <v>-34.14</v>
      </c>
      <c r="K406" s="70">
        <v>-7.05</v>
      </c>
      <c r="L406" s="64">
        <f t="shared" si="6"/>
        <v>772.62</v>
      </c>
    </row>
    <row r="407" spans="1:12" x14ac:dyDescent="0.25">
      <c r="A407" s="65">
        <v>2345</v>
      </c>
      <c r="B407" s="65" t="s">
        <v>229</v>
      </c>
      <c r="C407" s="65" t="s">
        <v>882</v>
      </c>
      <c r="D407" s="65">
        <v>0</v>
      </c>
      <c r="E407" s="65"/>
      <c r="F407" s="70">
        <v>-821.36</v>
      </c>
      <c r="G407" s="70">
        <v>-9.1999999999999993</v>
      </c>
      <c r="H407" s="70">
        <v>10.65</v>
      </c>
      <c r="I407" s="70">
        <v>0.14000000000000001</v>
      </c>
      <c r="J407" s="70">
        <v>-51.38</v>
      </c>
      <c r="K407" s="70">
        <v>-5.24</v>
      </c>
      <c r="L407" s="64">
        <f t="shared" si="6"/>
        <v>821.36</v>
      </c>
    </row>
    <row r="408" spans="1:12" x14ac:dyDescent="0.25">
      <c r="A408" s="65">
        <v>2066</v>
      </c>
      <c r="B408" s="65" t="s">
        <v>229</v>
      </c>
      <c r="C408" s="65" t="s">
        <v>612</v>
      </c>
      <c r="D408" s="65">
        <v>0</v>
      </c>
      <c r="E408" s="65"/>
      <c r="F408" s="70">
        <v>-701.42</v>
      </c>
      <c r="G408" s="70">
        <v>-13.86</v>
      </c>
      <c r="H408" s="70">
        <v>10.63</v>
      </c>
      <c r="I408" s="70">
        <v>-0.41</v>
      </c>
      <c r="J408" s="70">
        <v>-29.82</v>
      </c>
      <c r="K408" s="70">
        <v>-7.53</v>
      </c>
      <c r="L408" s="64">
        <f t="shared" si="6"/>
        <v>701.42</v>
      </c>
    </row>
    <row r="409" spans="1:12" x14ac:dyDescent="0.25">
      <c r="A409" s="65">
        <v>1931</v>
      </c>
      <c r="B409" s="65" t="s">
        <v>229</v>
      </c>
      <c r="C409" s="65" t="s">
        <v>486</v>
      </c>
      <c r="D409" s="65">
        <v>0</v>
      </c>
      <c r="E409" s="65"/>
      <c r="F409" s="70">
        <v>-821.88</v>
      </c>
      <c r="G409" s="70">
        <v>-9.26</v>
      </c>
      <c r="H409" s="70">
        <v>10.61</v>
      </c>
      <c r="I409" s="70">
        <v>0.14000000000000001</v>
      </c>
      <c r="J409" s="70">
        <v>-51.13</v>
      </c>
      <c r="K409" s="70">
        <v>-5.28</v>
      </c>
      <c r="L409" s="64">
        <f t="shared" si="6"/>
        <v>821.88</v>
      </c>
    </row>
    <row r="410" spans="1:12" x14ac:dyDescent="0.25">
      <c r="A410" s="65">
        <v>2552</v>
      </c>
      <c r="B410" s="65" t="s">
        <v>229</v>
      </c>
      <c r="C410" s="65" t="s">
        <v>1081</v>
      </c>
      <c r="D410" s="65">
        <v>4</v>
      </c>
      <c r="E410" s="65"/>
      <c r="F410" s="70">
        <v>-427.8</v>
      </c>
      <c r="G410" s="70">
        <v>-1.23</v>
      </c>
      <c r="H410" s="70">
        <v>10.4</v>
      </c>
      <c r="I410" s="70">
        <v>0.04</v>
      </c>
      <c r="J410" s="70">
        <v>-29.36</v>
      </c>
      <c r="K410" s="70">
        <v>0.54</v>
      </c>
      <c r="L410" s="64">
        <f t="shared" si="6"/>
        <v>427.8</v>
      </c>
    </row>
    <row r="411" spans="1:12" x14ac:dyDescent="0.25">
      <c r="A411" s="65">
        <v>2204</v>
      </c>
      <c r="B411" s="65" t="s">
        <v>229</v>
      </c>
      <c r="C411" s="65" t="s">
        <v>744</v>
      </c>
      <c r="D411" s="65">
        <v>0</v>
      </c>
      <c r="E411" s="65"/>
      <c r="F411" s="70">
        <v>-701</v>
      </c>
      <c r="G411" s="70">
        <v>-13.79</v>
      </c>
      <c r="H411" s="70">
        <v>10.32</v>
      </c>
      <c r="I411" s="70">
        <v>-0.41</v>
      </c>
      <c r="J411" s="70">
        <v>-30.17</v>
      </c>
      <c r="K411" s="70">
        <v>-7.49</v>
      </c>
      <c r="L411" s="64">
        <f t="shared" si="6"/>
        <v>701</v>
      </c>
    </row>
    <row r="412" spans="1:12" x14ac:dyDescent="0.25">
      <c r="A412" s="65">
        <v>49</v>
      </c>
      <c r="B412" s="65" t="s">
        <v>229</v>
      </c>
      <c r="C412" s="65" t="s">
        <v>289</v>
      </c>
      <c r="D412" s="65">
        <v>4</v>
      </c>
      <c r="E412" s="65"/>
      <c r="F412" s="70">
        <v>-428.41</v>
      </c>
      <c r="G412" s="70">
        <v>-1.24</v>
      </c>
      <c r="H412" s="70">
        <v>10.3</v>
      </c>
      <c r="I412" s="70">
        <v>0.04</v>
      </c>
      <c r="J412" s="70">
        <v>-29.5</v>
      </c>
      <c r="K412" s="70">
        <v>0.55000000000000004</v>
      </c>
      <c r="L412" s="64">
        <f t="shared" si="6"/>
        <v>428.41</v>
      </c>
    </row>
    <row r="413" spans="1:12" x14ac:dyDescent="0.25">
      <c r="A413" s="65">
        <v>2137</v>
      </c>
      <c r="B413" s="65" t="s">
        <v>229</v>
      </c>
      <c r="C413" s="65" t="s">
        <v>682</v>
      </c>
      <c r="D413" s="65">
        <v>0</v>
      </c>
      <c r="E413" s="65"/>
      <c r="F413" s="70">
        <v>-806.06</v>
      </c>
      <c r="G413" s="70">
        <v>-11.26</v>
      </c>
      <c r="H413" s="70">
        <v>10.28</v>
      </c>
      <c r="I413" s="70">
        <v>-0.21</v>
      </c>
      <c r="J413" s="70">
        <v>-38.659999999999997</v>
      </c>
      <c r="K413" s="70">
        <v>-6.29</v>
      </c>
      <c r="L413" s="64">
        <f t="shared" si="6"/>
        <v>806.06</v>
      </c>
    </row>
    <row r="414" spans="1:12" x14ac:dyDescent="0.25">
      <c r="A414" s="65">
        <v>2386</v>
      </c>
      <c r="B414" s="65" t="s">
        <v>229</v>
      </c>
      <c r="C414" s="65" t="s">
        <v>893</v>
      </c>
      <c r="D414" s="65">
        <v>4</v>
      </c>
      <c r="E414" s="65"/>
      <c r="F414" s="70">
        <v>-837.25</v>
      </c>
      <c r="G414" s="70">
        <v>-9.2899999999999991</v>
      </c>
      <c r="H414" s="70">
        <v>10.01</v>
      </c>
      <c r="I414" s="70">
        <v>0.14000000000000001</v>
      </c>
      <c r="J414" s="70">
        <v>-55.56</v>
      </c>
      <c r="K414" s="70">
        <v>5.29</v>
      </c>
      <c r="L414" s="64">
        <f t="shared" si="6"/>
        <v>837.25</v>
      </c>
    </row>
    <row r="415" spans="1:12" x14ac:dyDescent="0.25">
      <c r="A415" s="65">
        <v>2069</v>
      </c>
      <c r="B415" s="65" t="s">
        <v>229</v>
      </c>
      <c r="C415" s="65" t="s">
        <v>619</v>
      </c>
      <c r="D415" s="65">
        <v>4</v>
      </c>
      <c r="E415" s="65"/>
      <c r="F415" s="70">
        <v>-812.21</v>
      </c>
      <c r="G415" s="70">
        <v>-9.25</v>
      </c>
      <c r="H415" s="70">
        <v>9</v>
      </c>
      <c r="I415" s="70">
        <v>0.14000000000000001</v>
      </c>
      <c r="J415" s="70">
        <v>-55.32</v>
      </c>
      <c r="K415" s="70">
        <v>4.08</v>
      </c>
      <c r="L415" s="64">
        <f t="shared" si="6"/>
        <v>812.21</v>
      </c>
    </row>
    <row r="416" spans="1:12" x14ac:dyDescent="0.25">
      <c r="A416" s="65">
        <v>2207</v>
      </c>
      <c r="B416" s="65" t="s">
        <v>229</v>
      </c>
      <c r="C416" s="65" t="s">
        <v>751</v>
      </c>
      <c r="D416" s="65">
        <v>4</v>
      </c>
      <c r="E416" s="65"/>
      <c r="F416" s="70">
        <v>-812.12</v>
      </c>
      <c r="G416" s="70">
        <v>-9.2200000000000006</v>
      </c>
      <c r="H416" s="70">
        <v>8.9600000000000009</v>
      </c>
      <c r="I416" s="70">
        <v>0.14000000000000001</v>
      </c>
      <c r="J416" s="70">
        <v>-55.24</v>
      </c>
      <c r="K416" s="70">
        <v>4.07</v>
      </c>
      <c r="L416" s="64">
        <f t="shared" si="6"/>
        <v>812.12</v>
      </c>
    </row>
    <row r="417" spans="1:12" x14ac:dyDescent="0.25">
      <c r="A417" s="65">
        <v>2552</v>
      </c>
      <c r="B417" s="65" t="s">
        <v>229</v>
      </c>
      <c r="C417" s="65" t="s">
        <v>1080</v>
      </c>
      <c r="D417" s="65">
        <v>0</v>
      </c>
      <c r="E417" s="65"/>
      <c r="F417" s="70">
        <v>-423.47</v>
      </c>
      <c r="G417" s="70">
        <v>-1.23</v>
      </c>
      <c r="H417" s="70">
        <v>8.8000000000000007</v>
      </c>
      <c r="I417" s="70">
        <v>0.04</v>
      </c>
      <c r="J417" s="70">
        <v>-26.89</v>
      </c>
      <c r="K417" s="70">
        <v>-0.7</v>
      </c>
      <c r="L417" s="64">
        <f t="shared" si="6"/>
        <v>423.47</v>
      </c>
    </row>
    <row r="418" spans="1:12" x14ac:dyDescent="0.25">
      <c r="A418" s="65">
        <v>49</v>
      </c>
      <c r="B418" s="65" t="s">
        <v>229</v>
      </c>
      <c r="C418" s="65" t="s">
        <v>288</v>
      </c>
      <c r="D418" s="65">
        <v>0</v>
      </c>
      <c r="E418" s="65"/>
      <c r="F418" s="70">
        <v>-424.09</v>
      </c>
      <c r="G418" s="70">
        <v>-1.24</v>
      </c>
      <c r="H418" s="70">
        <v>8.6999999999999993</v>
      </c>
      <c r="I418" s="70">
        <v>0.04</v>
      </c>
      <c r="J418" s="70">
        <v>-26.81</v>
      </c>
      <c r="K418" s="70">
        <v>-0.71</v>
      </c>
      <c r="L418" s="64">
        <f t="shared" si="6"/>
        <v>424.09</v>
      </c>
    </row>
    <row r="419" spans="1:12" x14ac:dyDescent="0.25">
      <c r="A419" s="65">
        <v>2130</v>
      </c>
      <c r="B419" s="65" t="s">
        <v>229</v>
      </c>
      <c r="C419" s="65" t="s">
        <v>668</v>
      </c>
      <c r="D419" s="65">
        <v>0</v>
      </c>
      <c r="E419" s="65"/>
      <c r="F419" s="70">
        <v>-211.15</v>
      </c>
      <c r="G419" s="70">
        <v>-12.05</v>
      </c>
      <c r="H419" s="70">
        <v>8.64</v>
      </c>
      <c r="I419" s="70">
        <v>-0.63</v>
      </c>
      <c r="J419" s="70">
        <v>-13.07</v>
      </c>
      <c r="K419" s="70">
        <v>-6.39</v>
      </c>
      <c r="L419" s="64">
        <f t="shared" si="6"/>
        <v>211.15</v>
      </c>
    </row>
    <row r="420" spans="1:12" x14ac:dyDescent="0.25">
      <c r="A420" s="65">
        <v>2116</v>
      </c>
      <c r="B420" s="65" t="s">
        <v>229</v>
      </c>
      <c r="C420" s="65" t="s">
        <v>641</v>
      </c>
      <c r="D420" s="65">
        <v>4</v>
      </c>
      <c r="E420" s="65"/>
      <c r="F420" s="70">
        <v>-430.54</v>
      </c>
      <c r="G420" s="70">
        <v>-13.67</v>
      </c>
      <c r="H420" s="70">
        <v>8.56</v>
      </c>
      <c r="I420" s="70">
        <v>-0.55000000000000004</v>
      </c>
      <c r="J420" s="70">
        <v>-16.96</v>
      </c>
      <c r="K420" s="70">
        <v>7.28</v>
      </c>
      <c r="L420" s="64">
        <f t="shared" si="6"/>
        <v>430.54</v>
      </c>
    </row>
    <row r="421" spans="1:12" x14ac:dyDescent="0.25">
      <c r="A421" s="65">
        <v>2276</v>
      </c>
      <c r="B421" s="65" t="s">
        <v>229</v>
      </c>
      <c r="C421" s="65" t="s">
        <v>816</v>
      </c>
      <c r="D421" s="65">
        <v>0</v>
      </c>
      <c r="E421" s="65"/>
      <c r="F421" s="70">
        <v>-812.36</v>
      </c>
      <c r="G421" s="70">
        <v>-9.2100000000000009</v>
      </c>
      <c r="H421" s="70">
        <v>8.18</v>
      </c>
      <c r="I421" s="70">
        <v>0.14000000000000001</v>
      </c>
      <c r="J421" s="70">
        <v>-50.72</v>
      </c>
      <c r="K421" s="70">
        <v>-5.24</v>
      </c>
      <c r="L421" s="64">
        <f t="shared" si="6"/>
        <v>812.36</v>
      </c>
    </row>
    <row r="422" spans="1:12" x14ac:dyDescent="0.25">
      <c r="A422" s="65">
        <v>2000</v>
      </c>
      <c r="B422" s="65" t="s">
        <v>229</v>
      </c>
      <c r="C422" s="65" t="s">
        <v>552</v>
      </c>
      <c r="D422" s="65">
        <v>0</v>
      </c>
      <c r="E422" s="65"/>
      <c r="F422" s="70">
        <v>-812.54</v>
      </c>
      <c r="G422" s="70">
        <v>-9.26</v>
      </c>
      <c r="H422" s="70">
        <v>8.17</v>
      </c>
      <c r="I422" s="70">
        <v>0.14000000000000001</v>
      </c>
      <c r="J422" s="70">
        <v>-50.45</v>
      </c>
      <c r="K422" s="70">
        <v>-5.27</v>
      </c>
      <c r="L422" s="64">
        <f t="shared" si="6"/>
        <v>812.54</v>
      </c>
    </row>
    <row r="423" spans="1:12" x14ac:dyDescent="0.25">
      <c r="A423" s="65">
        <v>2115</v>
      </c>
      <c r="B423" s="65" t="s">
        <v>229</v>
      </c>
      <c r="C423" s="65" t="s">
        <v>639</v>
      </c>
      <c r="D423" s="65">
        <v>4</v>
      </c>
      <c r="E423" s="65"/>
      <c r="F423" s="70">
        <v>-523.42999999999995</v>
      </c>
      <c r="G423" s="70">
        <v>-14.17</v>
      </c>
      <c r="H423" s="70">
        <v>8.16</v>
      </c>
      <c r="I423" s="70">
        <v>-0.51</v>
      </c>
      <c r="J423" s="70">
        <v>-13.71</v>
      </c>
      <c r="K423" s="70">
        <v>7.56</v>
      </c>
      <c r="L423" s="64">
        <f t="shared" si="6"/>
        <v>523.42999999999995</v>
      </c>
    </row>
    <row r="424" spans="1:12" x14ac:dyDescent="0.25">
      <c r="A424" s="65">
        <v>2317</v>
      </c>
      <c r="B424" s="65" t="s">
        <v>229</v>
      </c>
      <c r="C424" s="65" t="s">
        <v>827</v>
      </c>
      <c r="D424" s="65">
        <v>4</v>
      </c>
      <c r="E424" s="65"/>
      <c r="F424" s="70">
        <v>-827.89</v>
      </c>
      <c r="G424" s="70">
        <v>-9.2899999999999991</v>
      </c>
      <c r="H424" s="70">
        <v>7.54</v>
      </c>
      <c r="I424" s="70">
        <v>0.14000000000000001</v>
      </c>
      <c r="J424" s="70">
        <v>-54.73</v>
      </c>
      <c r="K424" s="70">
        <v>5.29</v>
      </c>
      <c r="L424" s="64">
        <f t="shared" si="6"/>
        <v>827.89</v>
      </c>
    </row>
    <row r="425" spans="1:12" x14ac:dyDescent="0.25">
      <c r="A425" s="65">
        <v>2524</v>
      </c>
      <c r="B425" s="65" t="s">
        <v>229</v>
      </c>
      <c r="C425" s="65" t="s">
        <v>1025</v>
      </c>
      <c r="D425" s="65">
        <v>4</v>
      </c>
      <c r="E425" s="65"/>
      <c r="F425" s="70">
        <v>-427.08</v>
      </c>
      <c r="G425" s="70">
        <v>-1.24</v>
      </c>
      <c r="H425" s="70">
        <v>7.17</v>
      </c>
      <c r="I425" s="70">
        <v>0.04</v>
      </c>
      <c r="J425" s="70">
        <v>-28.6</v>
      </c>
      <c r="K425" s="70">
        <v>0.71</v>
      </c>
      <c r="L425" s="64">
        <f t="shared" si="6"/>
        <v>427.08</v>
      </c>
    </row>
    <row r="426" spans="1:12" x14ac:dyDescent="0.25">
      <c r="A426" s="65">
        <v>2138</v>
      </c>
      <c r="B426" s="65" t="s">
        <v>229</v>
      </c>
      <c r="C426" s="65" t="s">
        <v>685</v>
      </c>
      <c r="D426" s="65">
        <v>4</v>
      </c>
      <c r="E426" s="65"/>
      <c r="F426" s="70">
        <v>-803.41</v>
      </c>
      <c r="G426" s="70">
        <v>-9.23</v>
      </c>
      <c r="H426" s="70">
        <v>7.02</v>
      </c>
      <c r="I426" s="70">
        <v>0.14000000000000001</v>
      </c>
      <c r="J426" s="70">
        <v>-55.02</v>
      </c>
      <c r="K426" s="70">
        <v>4.07</v>
      </c>
      <c r="L426" s="64">
        <f t="shared" si="6"/>
        <v>803.41</v>
      </c>
    </row>
    <row r="427" spans="1:12" x14ac:dyDescent="0.25">
      <c r="A427" s="65">
        <v>2136</v>
      </c>
      <c r="B427" s="65" t="s">
        <v>229</v>
      </c>
      <c r="C427" s="65" t="s">
        <v>680</v>
      </c>
      <c r="D427" s="65">
        <v>0</v>
      </c>
      <c r="E427" s="65"/>
      <c r="F427" s="70">
        <v>-764.76</v>
      </c>
      <c r="G427" s="70">
        <v>-12.82</v>
      </c>
      <c r="H427" s="70">
        <v>6.9</v>
      </c>
      <c r="I427" s="70">
        <v>-0.31</v>
      </c>
      <c r="J427" s="70">
        <v>-32.54</v>
      </c>
      <c r="K427" s="70">
        <v>-7.06</v>
      </c>
      <c r="L427" s="64">
        <f t="shared" si="6"/>
        <v>764.76</v>
      </c>
    </row>
    <row r="428" spans="1:12" x14ac:dyDescent="0.25">
      <c r="A428" s="65">
        <v>2132</v>
      </c>
      <c r="B428" s="65" t="s">
        <v>229</v>
      </c>
      <c r="C428" s="65" t="s">
        <v>673</v>
      </c>
      <c r="D428" s="65">
        <v>4</v>
      </c>
      <c r="E428" s="65"/>
      <c r="F428" s="70">
        <v>-433.16</v>
      </c>
      <c r="G428" s="70">
        <v>-13.68</v>
      </c>
      <c r="H428" s="70">
        <v>6.68</v>
      </c>
      <c r="I428" s="70">
        <v>-0.55000000000000004</v>
      </c>
      <c r="J428" s="70">
        <v>-13.75</v>
      </c>
      <c r="K428" s="70">
        <v>6.25</v>
      </c>
      <c r="L428" s="64">
        <f t="shared" si="6"/>
        <v>433.16</v>
      </c>
    </row>
    <row r="429" spans="1:12" x14ac:dyDescent="0.25">
      <c r="A429" s="65">
        <v>2117</v>
      </c>
      <c r="B429" s="65" t="s">
        <v>229</v>
      </c>
      <c r="C429" s="65" t="s">
        <v>643</v>
      </c>
      <c r="D429" s="65">
        <v>4</v>
      </c>
      <c r="E429" s="65"/>
      <c r="F429" s="70">
        <v>-328</v>
      </c>
      <c r="G429" s="70">
        <v>-12.99</v>
      </c>
      <c r="H429" s="70">
        <v>6.5</v>
      </c>
      <c r="I429" s="70">
        <v>-0.59</v>
      </c>
      <c r="J429" s="70">
        <v>-16.66</v>
      </c>
      <c r="K429" s="70">
        <v>6.91</v>
      </c>
      <c r="L429" s="64">
        <f t="shared" si="6"/>
        <v>328</v>
      </c>
    </row>
    <row r="430" spans="1:12" x14ac:dyDescent="0.25">
      <c r="A430" s="65">
        <v>2133</v>
      </c>
      <c r="B430" s="65" t="s">
        <v>229</v>
      </c>
      <c r="C430" s="65" t="s">
        <v>675</v>
      </c>
      <c r="D430" s="65">
        <v>4</v>
      </c>
      <c r="E430" s="65"/>
      <c r="F430" s="70">
        <v>-526.20000000000005</v>
      </c>
      <c r="G430" s="70">
        <v>-14.15</v>
      </c>
      <c r="H430" s="70">
        <v>6.19</v>
      </c>
      <c r="I430" s="70">
        <v>-0.51</v>
      </c>
      <c r="J430" s="70">
        <v>-12.33</v>
      </c>
      <c r="K430" s="70">
        <v>6.44</v>
      </c>
      <c r="L430" s="64">
        <f t="shared" si="6"/>
        <v>526.20000000000005</v>
      </c>
    </row>
    <row r="431" spans="1:12" x14ac:dyDescent="0.25">
      <c r="A431" s="65">
        <v>2069</v>
      </c>
      <c r="B431" s="65" t="s">
        <v>229</v>
      </c>
      <c r="C431" s="65" t="s">
        <v>618</v>
      </c>
      <c r="D431" s="65">
        <v>0</v>
      </c>
      <c r="E431" s="65"/>
      <c r="F431" s="70">
        <v>-803.57</v>
      </c>
      <c r="G431" s="70">
        <v>-9.25</v>
      </c>
      <c r="H431" s="70">
        <v>5.81</v>
      </c>
      <c r="I431" s="70">
        <v>0.14000000000000001</v>
      </c>
      <c r="J431" s="70">
        <v>-49.95</v>
      </c>
      <c r="K431" s="70">
        <v>-5.27</v>
      </c>
      <c r="L431" s="64">
        <f t="shared" si="6"/>
        <v>803.57</v>
      </c>
    </row>
    <row r="432" spans="1:12" x14ac:dyDescent="0.25">
      <c r="A432" s="65">
        <v>2207</v>
      </c>
      <c r="B432" s="65" t="s">
        <v>229</v>
      </c>
      <c r="C432" s="65" t="s">
        <v>750</v>
      </c>
      <c r="D432" s="65">
        <v>0</v>
      </c>
      <c r="E432" s="65"/>
      <c r="F432" s="70">
        <v>-803.48</v>
      </c>
      <c r="G432" s="70">
        <v>-9.2200000000000006</v>
      </c>
      <c r="H432" s="70">
        <v>5.77</v>
      </c>
      <c r="I432" s="70">
        <v>0.14000000000000001</v>
      </c>
      <c r="J432" s="70">
        <v>-50.16</v>
      </c>
      <c r="K432" s="70">
        <v>-5.25</v>
      </c>
      <c r="L432" s="64">
        <f t="shared" si="6"/>
        <v>803.48</v>
      </c>
    </row>
    <row r="433" spans="1:12" x14ac:dyDescent="0.25">
      <c r="A433" s="65">
        <v>2248</v>
      </c>
      <c r="B433" s="65" t="s">
        <v>229</v>
      </c>
      <c r="C433" s="65" t="s">
        <v>761</v>
      </c>
      <c r="D433" s="65">
        <v>4</v>
      </c>
      <c r="E433" s="65"/>
      <c r="F433" s="70">
        <v>-818.57</v>
      </c>
      <c r="G433" s="70">
        <v>-9.2799999999999994</v>
      </c>
      <c r="H433" s="70">
        <v>5.08</v>
      </c>
      <c r="I433" s="70">
        <v>0.14000000000000001</v>
      </c>
      <c r="J433" s="70">
        <v>-54.08</v>
      </c>
      <c r="K433" s="70">
        <v>5.28</v>
      </c>
      <c r="L433" s="64">
        <f t="shared" si="6"/>
        <v>818.57</v>
      </c>
    </row>
    <row r="434" spans="1:12" x14ac:dyDescent="0.25">
      <c r="A434" s="65">
        <v>2135</v>
      </c>
      <c r="B434" s="65" t="s">
        <v>229</v>
      </c>
      <c r="C434" s="65" t="s">
        <v>678</v>
      </c>
      <c r="D434" s="65">
        <v>0</v>
      </c>
      <c r="E434" s="65"/>
      <c r="F434" s="70">
        <v>-694.08</v>
      </c>
      <c r="G434" s="70">
        <v>-13.83</v>
      </c>
      <c r="H434" s="70">
        <v>4.93</v>
      </c>
      <c r="I434" s="70">
        <v>-0.41</v>
      </c>
      <c r="J434" s="70">
        <v>-28.12</v>
      </c>
      <c r="K434" s="70">
        <v>-7.51</v>
      </c>
      <c r="L434" s="64">
        <f t="shared" si="6"/>
        <v>694.08</v>
      </c>
    </row>
    <row r="435" spans="1:12" x14ac:dyDescent="0.25">
      <c r="A435" s="65">
        <v>2138</v>
      </c>
      <c r="B435" s="65" t="s">
        <v>229</v>
      </c>
      <c r="C435" s="65" t="s">
        <v>684</v>
      </c>
      <c r="D435" s="65">
        <v>0</v>
      </c>
      <c r="E435" s="65"/>
      <c r="F435" s="70">
        <v>-794.77</v>
      </c>
      <c r="G435" s="70">
        <v>-9.23</v>
      </c>
      <c r="H435" s="70">
        <v>3.83</v>
      </c>
      <c r="I435" s="70">
        <v>0.14000000000000001</v>
      </c>
      <c r="J435" s="70">
        <v>-49.77</v>
      </c>
      <c r="K435" s="70">
        <v>-5.26</v>
      </c>
      <c r="L435" s="64">
        <f t="shared" si="6"/>
        <v>794.77</v>
      </c>
    </row>
    <row r="436" spans="1:12" x14ac:dyDescent="0.25">
      <c r="A436" s="65">
        <v>2110</v>
      </c>
      <c r="B436" s="65" t="s">
        <v>229</v>
      </c>
      <c r="C436" s="65" t="s">
        <v>629</v>
      </c>
      <c r="D436" s="65">
        <v>4</v>
      </c>
      <c r="E436" s="65"/>
      <c r="F436" s="70">
        <v>-800.82</v>
      </c>
      <c r="G436" s="70">
        <v>-9.26</v>
      </c>
      <c r="H436" s="70">
        <v>1.5</v>
      </c>
      <c r="I436" s="70">
        <v>0.14000000000000001</v>
      </c>
      <c r="J436" s="70">
        <v>-53.46</v>
      </c>
      <c r="K436" s="70">
        <v>5.27</v>
      </c>
      <c r="L436" s="64">
        <f t="shared" si="6"/>
        <v>800.82</v>
      </c>
    </row>
    <row r="437" spans="1:12" x14ac:dyDescent="0.25">
      <c r="A437" s="65">
        <v>2041</v>
      </c>
      <c r="B437" s="65" t="s">
        <v>229</v>
      </c>
      <c r="C437" s="65" t="s">
        <v>563</v>
      </c>
      <c r="D437" s="65">
        <v>4</v>
      </c>
      <c r="E437" s="65"/>
      <c r="F437" s="70">
        <v>-809.53</v>
      </c>
      <c r="G437" s="70">
        <v>-9.25</v>
      </c>
      <c r="H437" s="70">
        <v>-2.71</v>
      </c>
      <c r="I437" s="70">
        <v>0.14000000000000001</v>
      </c>
      <c r="J437" s="70">
        <v>-53.83</v>
      </c>
      <c r="K437" s="70">
        <v>5.26</v>
      </c>
      <c r="L437" s="64">
        <f t="shared" si="6"/>
        <v>809.53</v>
      </c>
    </row>
    <row r="438" spans="1:12" x14ac:dyDescent="0.25">
      <c r="A438" s="65">
        <v>2179</v>
      </c>
      <c r="B438" s="65" t="s">
        <v>229</v>
      </c>
      <c r="C438" s="65" t="s">
        <v>695</v>
      </c>
      <c r="D438" s="65">
        <v>4</v>
      </c>
      <c r="E438" s="65"/>
      <c r="F438" s="70">
        <v>-809.61</v>
      </c>
      <c r="G438" s="70">
        <v>-9.27</v>
      </c>
      <c r="H438" s="70">
        <v>-2.75</v>
      </c>
      <c r="I438" s="70">
        <v>0.14000000000000001</v>
      </c>
      <c r="J438" s="70">
        <v>-53.62</v>
      </c>
      <c r="K438" s="70">
        <v>5.28</v>
      </c>
      <c r="L438" s="64">
        <f t="shared" si="6"/>
        <v>809.61</v>
      </c>
    </row>
    <row r="439" spans="1:12" x14ac:dyDescent="0.25">
      <c r="A439" s="65">
        <v>2110</v>
      </c>
      <c r="B439" s="65" t="s">
        <v>229</v>
      </c>
      <c r="C439" s="65" t="s">
        <v>628</v>
      </c>
      <c r="D439" s="65">
        <v>0</v>
      </c>
      <c r="E439" s="65"/>
      <c r="F439" s="70">
        <v>-809.46</v>
      </c>
      <c r="G439" s="70">
        <v>-9.26</v>
      </c>
      <c r="H439" s="70">
        <v>-4.07</v>
      </c>
      <c r="I439" s="70">
        <v>0.14000000000000001</v>
      </c>
      <c r="J439" s="70">
        <v>-55.86</v>
      </c>
      <c r="K439" s="70">
        <v>-4.0999999999999996</v>
      </c>
      <c r="L439" s="64">
        <f t="shared" si="6"/>
        <v>809.46</v>
      </c>
    </row>
    <row r="440" spans="1:12" x14ac:dyDescent="0.25">
      <c r="A440" s="65">
        <v>1972</v>
      </c>
      <c r="B440" s="65" t="s">
        <v>229</v>
      </c>
      <c r="C440" s="65" t="s">
        <v>497</v>
      </c>
      <c r="D440" s="65">
        <v>4</v>
      </c>
      <c r="E440" s="65"/>
      <c r="F440" s="70">
        <v>-818.42</v>
      </c>
      <c r="G440" s="70">
        <v>-9.23</v>
      </c>
      <c r="H440" s="70">
        <v>-5.08</v>
      </c>
      <c r="I440" s="70">
        <v>0.14000000000000001</v>
      </c>
      <c r="J440" s="70">
        <v>-54.37</v>
      </c>
      <c r="K440" s="70">
        <v>5.26</v>
      </c>
      <c r="L440" s="64">
        <f t="shared" si="6"/>
        <v>818.42</v>
      </c>
    </row>
    <row r="441" spans="1:12" x14ac:dyDescent="0.25">
      <c r="A441" s="65">
        <v>2113</v>
      </c>
      <c r="B441" s="65" t="s">
        <v>229</v>
      </c>
      <c r="C441" s="65" t="s">
        <v>635</v>
      </c>
      <c r="D441" s="65">
        <v>4</v>
      </c>
      <c r="E441" s="65"/>
      <c r="F441" s="70">
        <v>-696.77</v>
      </c>
      <c r="G441" s="70">
        <v>-13.88</v>
      </c>
      <c r="H441" s="70">
        <v>-5.08</v>
      </c>
      <c r="I441" s="70">
        <v>-0.41</v>
      </c>
      <c r="J441" s="70">
        <v>-27.56</v>
      </c>
      <c r="K441" s="70">
        <v>7.53</v>
      </c>
      <c r="L441" s="64">
        <f t="shared" si="6"/>
        <v>696.77</v>
      </c>
    </row>
    <row r="442" spans="1:12" x14ac:dyDescent="0.25">
      <c r="A442" s="65">
        <v>2041</v>
      </c>
      <c r="B442" s="65" t="s">
        <v>229</v>
      </c>
      <c r="C442" s="65" t="s">
        <v>562</v>
      </c>
      <c r="D442" s="65">
        <v>0</v>
      </c>
      <c r="E442" s="65"/>
      <c r="F442" s="70">
        <v>-818.17</v>
      </c>
      <c r="G442" s="70">
        <v>-9.25</v>
      </c>
      <c r="H442" s="70">
        <v>-5.9</v>
      </c>
      <c r="I442" s="70">
        <v>0.14000000000000001</v>
      </c>
      <c r="J442" s="70">
        <v>-56.06</v>
      </c>
      <c r="K442" s="70">
        <v>-4.09</v>
      </c>
      <c r="L442" s="64">
        <f t="shared" si="6"/>
        <v>818.17</v>
      </c>
    </row>
    <row r="443" spans="1:12" x14ac:dyDescent="0.25">
      <c r="A443" s="65">
        <v>2115</v>
      </c>
      <c r="B443" s="65" t="s">
        <v>229</v>
      </c>
      <c r="C443" s="65" t="s">
        <v>638</v>
      </c>
      <c r="D443" s="65">
        <v>0</v>
      </c>
      <c r="E443" s="65"/>
      <c r="F443" s="70">
        <v>-526.77</v>
      </c>
      <c r="G443" s="70">
        <v>-14.17</v>
      </c>
      <c r="H443" s="70">
        <v>-5.92</v>
      </c>
      <c r="I443" s="70">
        <v>-0.51</v>
      </c>
      <c r="J443" s="70">
        <v>-12</v>
      </c>
      <c r="K443" s="70">
        <v>-6.45</v>
      </c>
      <c r="L443" s="64">
        <f t="shared" si="6"/>
        <v>526.77</v>
      </c>
    </row>
    <row r="444" spans="1:12" x14ac:dyDescent="0.25">
      <c r="A444" s="65">
        <v>2179</v>
      </c>
      <c r="B444" s="65" t="s">
        <v>229</v>
      </c>
      <c r="C444" s="65" t="s">
        <v>694</v>
      </c>
      <c r="D444" s="65">
        <v>0</v>
      </c>
      <c r="E444" s="65"/>
      <c r="F444" s="70">
        <v>-818.25</v>
      </c>
      <c r="G444" s="70">
        <v>-9.27</v>
      </c>
      <c r="H444" s="70">
        <v>-5.94</v>
      </c>
      <c r="I444" s="70">
        <v>0.14000000000000001</v>
      </c>
      <c r="J444" s="70">
        <v>-56.09</v>
      </c>
      <c r="K444" s="70">
        <v>-4.0999999999999996</v>
      </c>
      <c r="L444" s="64">
        <f t="shared" si="6"/>
        <v>818.25</v>
      </c>
    </row>
    <row r="445" spans="1:12" x14ac:dyDescent="0.25">
      <c r="A445" s="65">
        <v>2131</v>
      </c>
      <c r="B445" s="65" t="s">
        <v>229</v>
      </c>
      <c r="C445" s="65" t="s">
        <v>670</v>
      </c>
      <c r="D445" s="65">
        <v>0</v>
      </c>
      <c r="E445" s="65"/>
      <c r="F445" s="70">
        <v>-327.45999999999998</v>
      </c>
      <c r="G445" s="70">
        <v>-12.98</v>
      </c>
      <c r="H445" s="70">
        <v>-6.43</v>
      </c>
      <c r="I445" s="70">
        <v>-0.6</v>
      </c>
      <c r="J445" s="70">
        <v>-16.64</v>
      </c>
      <c r="K445" s="70">
        <v>-6.9</v>
      </c>
      <c r="L445" s="64">
        <f t="shared" si="6"/>
        <v>327.45999999999998</v>
      </c>
    </row>
    <row r="446" spans="1:12" x14ac:dyDescent="0.25">
      <c r="A446" s="65">
        <v>2116</v>
      </c>
      <c r="B446" s="65" t="s">
        <v>229</v>
      </c>
      <c r="C446" s="65" t="s">
        <v>640</v>
      </c>
      <c r="D446" s="65">
        <v>0</v>
      </c>
      <c r="E446" s="65"/>
      <c r="F446" s="70">
        <v>-433.53</v>
      </c>
      <c r="G446" s="70">
        <v>-13.67</v>
      </c>
      <c r="H446" s="70">
        <v>-6.65</v>
      </c>
      <c r="I446" s="70">
        <v>-0.55000000000000004</v>
      </c>
      <c r="J446" s="70">
        <v>-13.69</v>
      </c>
      <c r="K446" s="70">
        <v>-6.24</v>
      </c>
      <c r="L446" s="64">
        <f t="shared" si="6"/>
        <v>433.53</v>
      </c>
    </row>
    <row r="447" spans="1:12" x14ac:dyDescent="0.25">
      <c r="A447" s="65">
        <v>21</v>
      </c>
      <c r="B447" s="65" t="s">
        <v>229</v>
      </c>
      <c r="C447" s="65" t="s">
        <v>233</v>
      </c>
      <c r="D447" s="65">
        <v>4</v>
      </c>
      <c r="E447" s="65"/>
      <c r="F447" s="70">
        <v>-426.5</v>
      </c>
      <c r="G447" s="70">
        <v>-1.23</v>
      </c>
      <c r="H447" s="70">
        <v>-7.16</v>
      </c>
      <c r="I447" s="70">
        <v>0.04</v>
      </c>
      <c r="J447" s="70">
        <v>-28.69</v>
      </c>
      <c r="K447" s="70">
        <v>0.7</v>
      </c>
      <c r="L447" s="64">
        <f t="shared" si="6"/>
        <v>426.5</v>
      </c>
    </row>
    <row r="448" spans="1:12" x14ac:dyDescent="0.25">
      <c r="A448" s="65">
        <v>1903</v>
      </c>
      <c r="B448" s="65" t="s">
        <v>229</v>
      </c>
      <c r="C448" s="65" t="s">
        <v>431</v>
      </c>
      <c r="D448" s="65">
        <v>4</v>
      </c>
      <c r="E448" s="65"/>
      <c r="F448" s="70">
        <v>-827.47</v>
      </c>
      <c r="G448" s="70">
        <v>-9.2200000000000006</v>
      </c>
      <c r="H448" s="70">
        <v>-7.51</v>
      </c>
      <c r="I448" s="70">
        <v>0.14000000000000001</v>
      </c>
      <c r="J448" s="70">
        <v>-55.03</v>
      </c>
      <c r="K448" s="70">
        <v>5.25</v>
      </c>
      <c r="L448" s="64">
        <f t="shared" si="6"/>
        <v>827.47</v>
      </c>
    </row>
    <row r="449" spans="1:12" x14ac:dyDescent="0.25">
      <c r="A449" s="65">
        <v>2112</v>
      </c>
      <c r="B449" s="65" t="s">
        <v>229</v>
      </c>
      <c r="C449" s="65" t="s">
        <v>633</v>
      </c>
      <c r="D449" s="65">
        <v>4</v>
      </c>
      <c r="E449" s="65"/>
      <c r="F449" s="70">
        <v>-769.4</v>
      </c>
      <c r="G449" s="70">
        <v>-12.87</v>
      </c>
      <c r="H449" s="70">
        <v>-7.95</v>
      </c>
      <c r="I449" s="70">
        <v>-0.31</v>
      </c>
      <c r="J449" s="70">
        <v>-32.26</v>
      </c>
      <c r="K449" s="70">
        <v>7.09</v>
      </c>
      <c r="L449" s="64">
        <f t="shared" si="6"/>
        <v>769.4</v>
      </c>
    </row>
    <row r="450" spans="1:12" x14ac:dyDescent="0.25">
      <c r="A450" s="65">
        <v>2133</v>
      </c>
      <c r="B450" s="65" t="s">
        <v>229</v>
      </c>
      <c r="C450" s="65" t="s">
        <v>674</v>
      </c>
      <c r="D450" s="65">
        <v>0</v>
      </c>
      <c r="E450" s="65"/>
      <c r="F450" s="70">
        <v>-522.86</v>
      </c>
      <c r="G450" s="70">
        <v>-14.15</v>
      </c>
      <c r="H450" s="70">
        <v>-7.96</v>
      </c>
      <c r="I450" s="70">
        <v>-0.51</v>
      </c>
      <c r="J450" s="70">
        <v>-13.76</v>
      </c>
      <c r="K450" s="70">
        <v>-7.55</v>
      </c>
      <c r="L450" s="64">
        <f t="shared" si="6"/>
        <v>522.86</v>
      </c>
    </row>
    <row r="451" spans="1:12" x14ac:dyDescent="0.25">
      <c r="A451" s="65">
        <v>2248</v>
      </c>
      <c r="B451" s="65" t="s">
        <v>229</v>
      </c>
      <c r="C451" s="65" t="s">
        <v>760</v>
      </c>
      <c r="D451" s="65">
        <v>0</v>
      </c>
      <c r="E451" s="65"/>
      <c r="F451" s="70">
        <v>-827.21</v>
      </c>
      <c r="G451" s="70">
        <v>-9.2799999999999994</v>
      </c>
      <c r="H451" s="70">
        <v>-8.25</v>
      </c>
      <c r="I451" s="70">
        <v>0.14000000000000001</v>
      </c>
      <c r="J451" s="70">
        <v>-56.62</v>
      </c>
      <c r="K451" s="70">
        <v>-4.0999999999999996</v>
      </c>
      <c r="L451" s="64">
        <f t="shared" ref="L451:L514" si="7">F451*-1</f>
        <v>827.21</v>
      </c>
    </row>
    <row r="452" spans="1:12" x14ac:dyDescent="0.25">
      <c r="A452" s="65">
        <v>1972</v>
      </c>
      <c r="B452" s="65" t="s">
        <v>229</v>
      </c>
      <c r="C452" s="65" t="s">
        <v>496</v>
      </c>
      <c r="D452" s="65">
        <v>0</v>
      </c>
      <c r="E452" s="65"/>
      <c r="F452" s="70">
        <v>-827.06</v>
      </c>
      <c r="G452" s="70">
        <v>-9.23</v>
      </c>
      <c r="H452" s="70">
        <v>-8.2799999999999994</v>
      </c>
      <c r="I452" s="70">
        <v>0.14000000000000001</v>
      </c>
      <c r="J452" s="70">
        <v>-56.38</v>
      </c>
      <c r="K452" s="70">
        <v>-4.08</v>
      </c>
      <c r="L452" s="64">
        <f t="shared" si="7"/>
        <v>827.06</v>
      </c>
    </row>
    <row r="453" spans="1:12" x14ac:dyDescent="0.25">
      <c r="A453" s="65">
        <v>2132</v>
      </c>
      <c r="B453" s="65" t="s">
        <v>229</v>
      </c>
      <c r="C453" s="65" t="s">
        <v>672</v>
      </c>
      <c r="D453" s="65">
        <v>0</v>
      </c>
      <c r="E453" s="65"/>
      <c r="F453" s="70">
        <v>-430.18</v>
      </c>
      <c r="G453" s="70">
        <v>-13.68</v>
      </c>
      <c r="H453" s="70">
        <v>-8.48</v>
      </c>
      <c r="I453" s="70">
        <v>-0.55000000000000004</v>
      </c>
      <c r="J453" s="70">
        <v>-17</v>
      </c>
      <c r="K453" s="70">
        <v>-7.29</v>
      </c>
      <c r="L453" s="64">
        <f t="shared" si="7"/>
        <v>430.18</v>
      </c>
    </row>
    <row r="454" spans="1:12" x14ac:dyDescent="0.25">
      <c r="A454" s="65">
        <v>2118</v>
      </c>
      <c r="B454" s="65" t="s">
        <v>229</v>
      </c>
      <c r="C454" s="65" t="s">
        <v>645</v>
      </c>
      <c r="D454" s="65">
        <v>4</v>
      </c>
      <c r="E454" s="65"/>
      <c r="F454" s="70">
        <v>-211.48</v>
      </c>
      <c r="G454" s="70">
        <v>-12.05</v>
      </c>
      <c r="H454" s="70">
        <v>-8.56</v>
      </c>
      <c r="I454" s="70">
        <v>-0.63</v>
      </c>
      <c r="J454" s="70">
        <v>-13.1</v>
      </c>
      <c r="K454" s="70">
        <v>6.39</v>
      </c>
      <c r="L454" s="64">
        <f t="shared" si="7"/>
        <v>211.48</v>
      </c>
    </row>
    <row r="455" spans="1:12" x14ac:dyDescent="0.25">
      <c r="A455" s="65">
        <v>2524</v>
      </c>
      <c r="B455" s="65" t="s">
        <v>229</v>
      </c>
      <c r="C455" s="65" t="s">
        <v>1024</v>
      </c>
      <c r="D455" s="65">
        <v>0</v>
      </c>
      <c r="E455" s="65"/>
      <c r="F455" s="70">
        <v>-431.4</v>
      </c>
      <c r="G455" s="70">
        <v>-1.24</v>
      </c>
      <c r="H455" s="70">
        <v>-8.65</v>
      </c>
      <c r="I455" s="70">
        <v>0.04</v>
      </c>
      <c r="J455" s="70">
        <v>-29.81</v>
      </c>
      <c r="K455" s="70">
        <v>-0.55000000000000004</v>
      </c>
      <c r="L455" s="64">
        <f t="shared" si="7"/>
        <v>431.4</v>
      </c>
    </row>
    <row r="456" spans="1:12" x14ac:dyDescent="0.25">
      <c r="A456" s="65">
        <v>21</v>
      </c>
      <c r="B456" s="65" t="s">
        <v>229</v>
      </c>
      <c r="C456" s="65" t="s">
        <v>232</v>
      </c>
      <c r="D456" s="65">
        <v>0</v>
      </c>
      <c r="E456" s="65"/>
      <c r="F456" s="70">
        <v>-430.82</v>
      </c>
      <c r="G456" s="70">
        <v>-1.23</v>
      </c>
      <c r="H456" s="70">
        <v>-8.76</v>
      </c>
      <c r="I456" s="70">
        <v>0.04</v>
      </c>
      <c r="J456" s="70">
        <v>-29.66</v>
      </c>
      <c r="K456" s="70">
        <v>-0.54</v>
      </c>
      <c r="L456" s="64">
        <f t="shared" si="7"/>
        <v>430.82</v>
      </c>
    </row>
    <row r="457" spans="1:12" x14ac:dyDescent="0.25">
      <c r="A457" s="65">
        <v>1834</v>
      </c>
      <c r="B457" s="65" t="s">
        <v>229</v>
      </c>
      <c r="C457" s="65" t="s">
        <v>365</v>
      </c>
      <c r="D457" s="65">
        <v>4</v>
      </c>
      <c r="E457" s="65"/>
      <c r="F457" s="70">
        <v>-836.55</v>
      </c>
      <c r="G457" s="70">
        <v>-9.2200000000000006</v>
      </c>
      <c r="H457" s="70">
        <v>-9.9700000000000006</v>
      </c>
      <c r="I457" s="70">
        <v>0.14000000000000001</v>
      </c>
      <c r="J457" s="70">
        <v>-55.78</v>
      </c>
      <c r="K457" s="70">
        <v>5.25</v>
      </c>
      <c r="L457" s="64">
        <f t="shared" si="7"/>
        <v>836.55</v>
      </c>
    </row>
    <row r="458" spans="1:12" x14ac:dyDescent="0.25">
      <c r="A458" s="65">
        <v>2044</v>
      </c>
      <c r="B458" s="65" t="s">
        <v>229</v>
      </c>
      <c r="C458" s="65" t="s">
        <v>569</v>
      </c>
      <c r="D458" s="65">
        <v>4</v>
      </c>
      <c r="E458" s="65"/>
      <c r="F458" s="70">
        <v>-703.68</v>
      </c>
      <c r="G458" s="70">
        <v>-13.84</v>
      </c>
      <c r="H458" s="70">
        <v>-10.5</v>
      </c>
      <c r="I458" s="70">
        <v>-0.41</v>
      </c>
      <c r="J458" s="70">
        <v>-29.62</v>
      </c>
      <c r="K458" s="70">
        <v>7.51</v>
      </c>
      <c r="L458" s="64">
        <f t="shared" si="7"/>
        <v>703.68</v>
      </c>
    </row>
    <row r="459" spans="1:12" x14ac:dyDescent="0.25">
      <c r="A459" s="65">
        <v>2317</v>
      </c>
      <c r="B459" s="65" t="s">
        <v>229</v>
      </c>
      <c r="C459" s="65" t="s">
        <v>826</v>
      </c>
      <c r="D459" s="65">
        <v>0</v>
      </c>
      <c r="E459" s="65"/>
      <c r="F459" s="70">
        <v>-836.53</v>
      </c>
      <c r="G459" s="70">
        <v>-9.2899999999999991</v>
      </c>
      <c r="H459" s="70">
        <v>-10.65</v>
      </c>
      <c r="I459" s="70">
        <v>0.14000000000000001</v>
      </c>
      <c r="J459" s="70">
        <v>-57.29</v>
      </c>
      <c r="K459" s="70">
        <v>-4.1100000000000003</v>
      </c>
      <c r="L459" s="64">
        <f t="shared" si="7"/>
        <v>836.53</v>
      </c>
    </row>
    <row r="460" spans="1:12" x14ac:dyDescent="0.25">
      <c r="A460" s="65">
        <v>1903</v>
      </c>
      <c r="B460" s="65" t="s">
        <v>229</v>
      </c>
      <c r="C460" s="65" t="s">
        <v>430</v>
      </c>
      <c r="D460" s="65">
        <v>0</v>
      </c>
      <c r="E460" s="65"/>
      <c r="F460" s="70">
        <v>-836.11</v>
      </c>
      <c r="G460" s="70">
        <v>-9.2200000000000006</v>
      </c>
      <c r="H460" s="70">
        <v>-10.71</v>
      </c>
      <c r="I460" s="70">
        <v>0.14000000000000001</v>
      </c>
      <c r="J460" s="70">
        <v>-56.94</v>
      </c>
      <c r="K460" s="70">
        <v>-4.08</v>
      </c>
      <c r="L460" s="64">
        <f t="shared" si="7"/>
        <v>836.11</v>
      </c>
    </row>
    <row r="461" spans="1:12" x14ac:dyDescent="0.25">
      <c r="A461" s="65">
        <v>2182</v>
      </c>
      <c r="B461" s="65" t="s">
        <v>229</v>
      </c>
      <c r="C461" s="65" t="s">
        <v>701</v>
      </c>
      <c r="D461" s="65">
        <v>4</v>
      </c>
      <c r="E461" s="65"/>
      <c r="F461" s="70">
        <v>-704.01</v>
      </c>
      <c r="G461" s="70">
        <v>-13.91</v>
      </c>
      <c r="H461" s="70">
        <v>-10.82</v>
      </c>
      <c r="I461" s="70">
        <v>-0.41</v>
      </c>
      <c r="J461" s="70">
        <v>-29.28</v>
      </c>
      <c r="K461" s="70">
        <v>7.55</v>
      </c>
      <c r="L461" s="64">
        <f t="shared" si="7"/>
        <v>704.01</v>
      </c>
    </row>
    <row r="462" spans="1:12" x14ac:dyDescent="0.25">
      <c r="A462" s="65">
        <v>2117</v>
      </c>
      <c r="B462" s="65" t="s">
        <v>229</v>
      </c>
      <c r="C462" s="65" t="s">
        <v>642</v>
      </c>
      <c r="D462" s="65">
        <v>0</v>
      </c>
      <c r="E462" s="65"/>
      <c r="F462" s="70">
        <v>-330.63</v>
      </c>
      <c r="G462" s="70">
        <v>-12.99</v>
      </c>
      <c r="H462" s="70">
        <v>-11.39</v>
      </c>
      <c r="I462" s="70">
        <v>-0.59</v>
      </c>
      <c r="J462" s="70">
        <v>-16.95</v>
      </c>
      <c r="K462" s="70">
        <v>-5.94</v>
      </c>
      <c r="L462" s="64">
        <f t="shared" si="7"/>
        <v>330.63</v>
      </c>
    </row>
    <row r="463" spans="1:12" x14ac:dyDescent="0.25">
      <c r="A463" s="65">
        <v>2043</v>
      </c>
      <c r="B463" s="65" t="s">
        <v>229</v>
      </c>
      <c r="C463" s="65" t="s">
        <v>567</v>
      </c>
      <c r="D463" s="65">
        <v>4</v>
      </c>
      <c r="E463" s="65"/>
      <c r="F463" s="70">
        <v>-777.28</v>
      </c>
      <c r="G463" s="70">
        <v>-12.83</v>
      </c>
      <c r="H463" s="70">
        <v>-12.25</v>
      </c>
      <c r="I463" s="70">
        <v>-0.31</v>
      </c>
      <c r="J463" s="70">
        <v>-33.86</v>
      </c>
      <c r="K463" s="70">
        <v>7.07</v>
      </c>
      <c r="L463" s="64">
        <f t="shared" si="7"/>
        <v>777.28</v>
      </c>
    </row>
    <row r="464" spans="1:12" x14ac:dyDescent="0.25">
      <c r="A464" s="65">
        <v>2181</v>
      </c>
      <c r="B464" s="65" t="s">
        <v>229</v>
      </c>
      <c r="C464" s="65" t="s">
        <v>699</v>
      </c>
      <c r="D464" s="65">
        <v>4</v>
      </c>
      <c r="E464" s="65"/>
      <c r="F464" s="70">
        <v>-777.36</v>
      </c>
      <c r="G464" s="70">
        <v>-12.9</v>
      </c>
      <c r="H464" s="70">
        <v>-12.29</v>
      </c>
      <c r="I464" s="70">
        <v>-0.31</v>
      </c>
      <c r="J464" s="70">
        <v>-33.479999999999997</v>
      </c>
      <c r="K464" s="70">
        <v>7.11</v>
      </c>
      <c r="L464" s="64">
        <f t="shared" si="7"/>
        <v>777.36</v>
      </c>
    </row>
    <row r="465" spans="1:12" x14ac:dyDescent="0.25">
      <c r="A465" s="65">
        <v>1765</v>
      </c>
      <c r="B465" s="65" t="s">
        <v>229</v>
      </c>
      <c r="C465" s="65" t="s">
        <v>299</v>
      </c>
      <c r="D465" s="65">
        <v>4</v>
      </c>
      <c r="E465" s="65"/>
      <c r="F465" s="70">
        <v>-845.76</v>
      </c>
      <c r="G465" s="70">
        <v>-9.2100000000000009</v>
      </c>
      <c r="H465" s="70">
        <v>-12.46</v>
      </c>
      <c r="I465" s="70">
        <v>0.14000000000000001</v>
      </c>
      <c r="J465" s="70">
        <v>-56.65</v>
      </c>
      <c r="K465" s="70">
        <v>5.24</v>
      </c>
      <c r="L465" s="64">
        <f t="shared" si="7"/>
        <v>845.76</v>
      </c>
    </row>
    <row r="466" spans="1:12" x14ac:dyDescent="0.25">
      <c r="A466" s="65">
        <v>2113</v>
      </c>
      <c r="B466" s="65" t="s">
        <v>229</v>
      </c>
      <c r="C466" s="65" t="s">
        <v>634</v>
      </c>
      <c r="D466" s="65">
        <v>0</v>
      </c>
      <c r="E466" s="65"/>
      <c r="F466" s="70">
        <v>-702.11</v>
      </c>
      <c r="G466" s="70">
        <v>-13.88</v>
      </c>
      <c r="H466" s="70">
        <v>-12.58</v>
      </c>
      <c r="I466" s="70">
        <v>-0.41</v>
      </c>
      <c r="J466" s="70">
        <v>-32.229999999999997</v>
      </c>
      <c r="K466" s="70">
        <v>-6.17</v>
      </c>
      <c r="L466" s="64">
        <f t="shared" si="7"/>
        <v>702.11</v>
      </c>
    </row>
    <row r="467" spans="1:12" x14ac:dyDescent="0.25">
      <c r="A467" s="65">
        <v>2046</v>
      </c>
      <c r="B467" s="65" t="s">
        <v>229</v>
      </c>
      <c r="C467" s="65" t="s">
        <v>572</v>
      </c>
      <c r="D467" s="65">
        <v>0</v>
      </c>
      <c r="E467" s="65"/>
      <c r="F467" s="70">
        <v>-531.87</v>
      </c>
      <c r="G467" s="70">
        <v>-14.15</v>
      </c>
      <c r="H467" s="70">
        <v>-12.63</v>
      </c>
      <c r="I467" s="70">
        <v>-0.51</v>
      </c>
      <c r="J467" s="70">
        <v>-14.59</v>
      </c>
      <c r="K467" s="70">
        <v>-6.45</v>
      </c>
      <c r="L467" s="64">
        <f t="shared" si="7"/>
        <v>531.87</v>
      </c>
    </row>
    <row r="468" spans="1:12" x14ac:dyDescent="0.25">
      <c r="A468" s="65">
        <v>2047</v>
      </c>
      <c r="B468" s="65" t="s">
        <v>229</v>
      </c>
      <c r="C468" s="65" t="s">
        <v>574</v>
      </c>
      <c r="D468" s="65">
        <v>0</v>
      </c>
      <c r="E468" s="65"/>
      <c r="F468" s="70">
        <v>-437.95</v>
      </c>
      <c r="G468" s="70">
        <v>-13.66</v>
      </c>
      <c r="H468" s="70">
        <v>-12.87</v>
      </c>
      <c r="I468" s="70">
        <v>-0.55000000000000004</v>
      </c>
      <c r="J468" s="70">
        <v>-16.37</v>
      </c>
      <c r="K468" s="70">
        <v>-6.24</v>
      </c>
      <c r="L468" s="64">
        <f t="shared" si="7"/>
        <v>437.95</v>
      </c>
    </row>
    <row r="469" spans="1:12" x14ac:dyDescent="0.25">
      <c r="A469" s="65">
        <v>2386</v>
      </c>
      <c r="B469" s="65" t="s">
        <v>229</v>
      </c>
      <c r="C469" s="65" t="s">
        <v>892</v>
      </c>
      <c r="D469" s="65">
        <v>0</v>
      </c>
      <c r="E469" s="65"/>
      <c r="F469" s="70">
        <v>-845.89</v>
      </c>
      <c r="G469" s="70">
        <v>-9.2899999999999991</v>
      </c>
      <c r="H469" s="70">
        <v>-13.06</v>
      </c>
      <c r="I469" s="70">
        <v>0.14000000000000001</v>
      </c>
      <c r="J469" s="70">
        <v>-58.06</v>
      </c>
      <c r="K469" s="70">
        <v>-4.1100000000000003</v>
      </c>
      <c r="L469" s="64">
        <f t="shared" si="7"/>
        <v>845.89</v>
      </c>
    </row>
    <row r="470" spans="1:12" x14ac:dyDescent="0.25">
      <c r="A470" s="65">
        <v>2184</v>
      </c>
      <c r="B470" s="65" t="s">
        <v>229</v>
      </c>
      <c r="C470" s="65" t="s">
        <v>704</v>
      </c>
      <c r="D470" s="65">
        <v>0</v>
      </c>
      <c r="E470" s="65"/>
      <c r="F470" s="70">
        <v>-532.72</v>
      </c>
      <c r="G470" s="70">
        <v>-14.18</v>
      </c>
      <c r="H470" s="70">
        <v>-13.08</v>
      </c>
      <c r="I470" s="70">
        <v>-0.51</v>
      </c>
      <c r="J470" s="70">
        <v>-14.94</v>
      </c>
      <c r="K470" s="70">
        <v>-6.46</v>
      </c>
      <c r="L470" s="64">
        <f t="shared" si="7"/>
        <v>532.72</v>
      </c>
    </row>
    <row r="471" spans="1:12" x14ac:dyDescent="0.25">
      <c r="A471" s="65">
        <v>1834</v>
      </c>
      <c r="B471" s="65" t="s">
        <v>229</v>
      </c>
      <c r="C471" s="65" t="s">
        <v>364</v>
      </c>
      <c r="D471" s="65">
        <v>0</v>
      </c>
      <c r="E471" s="65"/>
      <c r="F471" s="70">
        <v>-845.19</v>
      </c>
      <c r="G471" s="70">
        <v>-9.2200000000000006</v>
      </c>
      <c r="H471" s="70">
        <v>-13.17</v>
      </c>
      <c r="I471" s="70">
        <v>0.14000000000000001</v>
      </c>
      <c r="J471" s="70">
        <v>-57.71</v>
      </c>
      <c r="K471" s="70">
        <v>-4.08</v>
      </c>
      <c r="L471" s="64">
        <f t="shared" si="7"/>
        <v>845.19</v>
      </c>
    </row>
    <row r="472" spans="1:12" x14ac:dyDescent="0.25">
      <c r="A472" s="65">
        <v>2111</v>
      </c>
      <c r="B472" s="65" t="s">
        <v>229</v>
      </c>
      <c r="C472" s="65" t="s">
        <v>631</v>
      </c>
      <c r="D472" s="65">
        <v>4</v>
      </c>
      <c r="E472" s="65"/>
      <c r="F472" s="70">
        <v>-814.17</v>
      </c>
      <c r="G472" s="70">
        <v>-11.3</v>
      </c>
      <c r="H472" s="70">
        <v>-13.2</v>
      </c>
      <c r="I472" s="70">
        <v>-0.21</v>
      </c>
      <c r="J472" s="70">
        <v>-39.369999999999997</v>
      </c>
      <c r="K472" s="70">
        <v>6.3</v>
      </c>
      <c r="L472" s="64">
        <f t="shared" si="7"/>
        <v>814.17</v>
      </c>
    </row>
    <row r="473" spans="1:12" x14ac:dyDescent="0.25">
      <c r="A473" s="65">
        <v>2114</v>
      </c>
      <c r="B473" s="65" t="s">
        <v>229</v>
      </c>
      <c r="C473" s="65" t="s">
        <v>637</v>
      </c>
      <c r="D473" s="65">
        <v>4</v>
      </c>
      <c r="E473" s="65"/>
      <c r="F473" s="70">
        <v>-608.55999999999995</v>
      </c>
      <c r="G473" s="70">
        <v>-14.27</v>
      </c>
      <c r="H473" s="70">
        <v>-13.22</v>
      </c>
      <c r="I473" s="70">
        <v>-0.48</v>
      </c>
      <c r="J473" s="70">
        <v>-12.02</v>
      </c>
      <c r="K473" s="70">
        <v>7.65</v>
      </c>
      <c r="L473" s="64">
        <f t="shared" si="7"/>
        <v>608.55999999999995</v>
      </c>
    </row>
    <row r="474" spans="1:12" x14ac:dyDescent="0.25">
      <c r="A474" s="65">
        <v>2185</v>
      </c>
      <c r="B474" s="65" t="s">
        <v>229</v>
      </c>
      <c r="C474" s="65" t="s">
        <v>706</v>
      </c>
      <c r="D474" s="65">
        <v>0</v>
      </c>
      <c r="E474" s="65"/>
      <c r="F474" s="70">
        <v>-439.18</v>
      </c>
      <c r="G474" s="70">
        <v>-13.68</v>
      </c>
      <c r="H474" s="70">
        <v>-13.25</v>
      </c>
      <c r="I474" s="70">
        <v>-0.55000000000000004</v>
      </c>
      <c r="J474" s="70">
        <v>-16.690000000000001</v>
      </c>
      <c r="K474" s="70">
        <v>-6.25</v>
      </c>
      <c r="L474" s="64">
        <f t="shared" si="7"/>
        <v>439.18</v>
      </c>
    </row>
    <row r="475" spans="1:12" x14ac:dyDescent="0.25">
      <c r="A475" s="65">
        <v>2062</v>
      </c>
      <c r="B475" s="65" t="s">
        <v>229</v>
      </c>
      <c r="C475" s="65" t="s">
        <v>604</v>
      </c>
      <c r="D475" s="65">
        <v>0</v>
      </c>
      <c r="E475" s="65"/>
      <c r="F475" s="70">
        <v>-332.9</v>
      </c>
      <c r="G475" s="70">
        <v>-12.99</v>
      </c>
      <c r="H475" s="70">
        <v>-13.73</v>
      </c>
      <c r="I475" s="70">
        <v>-0.6</v>
      </c>
      <c r="J475" s="70">
        <v>-19.05</v>
      </c>
      <c r="K475" s="70">
        <v>-6.91</v>
      </c>
      <c r="L475" s="64">
        <f t="shared" si="7"/>
        <v>332.9</v>
      </c>
    </row>
    <row r="476" spans="1:12" x14ac:dyDescent="0.25">
      <c r="A476" s="65">
        <v>2200</v>
      </c>
      <c r="B476" s="65" t="s">
        <v>229</v>
      </c>
      <c r="C476" s="65" t="s">
        <v>736</v>
      </c>
      <c r="D476" s="65">
        <v>0</v>
      </c>
      <c r="E476" s="65"/>
      <c r="F476" s="70">
        <v>-331.38</v>
      </c>
      <c r="G476" s="70">
        <v>-12.97</v>
      </c>
      <c r="H476" s="70">
        <v>-14.01</v>
      </c>
      <c r="I476" s="70">
        <v>-0.6</v>
      </c>
      <c r="J476" s="70">
        <v>-19.329999999999998</v>
      </c>
      <c r="K476" s="70">
        <v>-6.9</v>
      </c>
      <c r="L476" s="64">
        <f t="shared" si="7"/>
        <v>331.38</v>
      </c>
    </row>
    <row r="477" spans="1:12" x14ac:dyDescent="0.25">
      <c r="A477" s="65">
        <v>2112</v>
      </c>
      <c r="B477" s="65" t="s">
        <v>229</v>
      </c>
      <c r="C477" s="65" t="s">
        <v>632</v>
      </c>
      <c r="D477" s="65">
        <v>0</v>
      </c>
      <c r="E477" s="65"/>
      <c r="F477" s="70">
        <v>-776.12</v>
      </c>
      <c r="G477" s="70">
        <v>-12.87</v>
      </c>
      <c r="H477" s="70">
        <v>-14.24</v>
      </c>
      <c r="I477" s="70">
        <v>-0.31</v>
      </c>
      <c r="J477" s="70">
        <v>-39.35</v>
      </c>
      <c r="K477" s="70">
        <v>-5.63</v>
      </c>
      <c r="L477" s="64">
        <f t="shared" si="7"/>
        <v>776.12</v>
      </c>
    </row>
    <row r="478" spans="1:12" x14ac:dyDescent="0.25">
      <c r="A478" s="65">
        <v>2119</v>
      </c>
      <c r="B478" s="65" t="s">
        <v>229</v>
      </c>
      <c r="C478" s="65" t="s">
        <v>647</v>
      </c>
      <c r="D478" s="65">
        <v>4</v>
      </c>
      <c r="E478" s="65"/>
      <c r="F478" s="70">
        <v>109.32</v>
      </c>
      <c r="G478" s="70">
        <v>-10.8</v>
      </c>
      <c r="H478" s="70">
        <v>-14.49</v>
      </c>
      <c r="I478" s="70">
        <v>-0.67</v>
      </c>
      <c r="J478" s="70">
        <v>17.71</v>
      </c>
      <c r="K478" s="70">
        <v>5.72</v>
      </c>
      <c r="L478" s="64">
        <f t="shared" si="7"/>
        <v>-109.32</v>
      </c>
    </row>
    <row r="479" spans="1:12" x14ac:dyDescent="0.25">
      <c r="A479" s="65">
        <v>2064</v>
      </c>
      <c r="B479" s="65" t="s">
        <v>229</v>
      </c>
      <c r="C479" s="65" t="s">
        <v>608</v>
      </c>
      <c r="D479" s="65">
        <v>0</v>
      </c>
      <c r="E479" s="65"/>
      <c r="F479" s="70">
        <v>-528.79999999999995</v>
      </c>
      <c r="G479" s="70">
        <v>-14.16</v>
      </c>
      <c r="H479" s="70">
        <v>-14.62</v>
      </c>
      <c r="I479" s="70">
        <v>-0.51</v>
      </c>
      <c r="J479" s="70">
        <v>-16.21</v>
      </c>
      <c r="K479" s="70">
        <v>-7.56</v>
      </c>
      <c r="L479" s="64">
        <f t="shared" si="7"/>
        <v>528.79999999999995</v>
      </c>
    </row>
    <row r="480" spans="1:12" x14ac:dyDescent="0.25">
      <c r="A480" s="65">
        <v>2202</v>
      </c>
      <c r="B480" s="65" t="s">
        <v>229</v>
      </c>
      <c r="C480" s="65" t="s">
        <v>740</v>
      </c>
      <c r="D480" s="65">
        <v>0</v>
      </c>
      <c r="E480" s="65"/>
      <c r="F480" s="70">
        <v>-527.94000000000005</v>
      </c>
      <c r="G480" s="70">
        <v>-14.13</v>
      </c>
      <c r="H480" s="70">
        <v>-14.8</v>
      </c>
      <c r="I480" s="70">
        <v>-0.51</v>
      </c>
      <c r="J480" s="70">
        <v>-16.510000000000002</v>
      </c>
      <c r="K480" s="70">
        <v>-7.54</v>
      </c>
      <c r="L480" s="64">
        <f t="shared" si="7"/>
        <v>527.94000000000005</v>
      </c>
    </row>
    <row r="481" spans="1:12" x14ac:dyDescent="0.25">
      <c r="A481" s="65">
        <v>2049</v>
      </c>
      <c r="B481" s="65" t="s">
        <v>229</v>
      </c>
      <c r="C481" s="65" t="s">
        <v>579</v>
      </c>
      <c r="D481" s="65">
        <v>4</v>
      </c>
      <c r="E481" s="65"/>
      <c r="F481" s="70">
        <v>-215</v>
      </c>
      <c r="G481" s="70">
        <v>-12.04</v>
      </c>
      <c r="H481" s="70">
        <v>-15.39</v>
      </c>
      <c r="I481" s="70">
        <v>-0.63</v>
      </c>
      <c r="J481" s="70">
        <v>-15.73</v>
      </c>
      <c r="K481" s="70">
        <v>6.39</v>
      </c>
      <c r="L481" s="64">
        <f t="shared" si="7"/>
        <v>215</v>
      </c>
    </row>
    <row r="482" spans="1:12" x14ac:dyDescent="0.25">
      <c r="A482" s="65">
        <v>2455</v>
      </c>
      <c r="B482" s="65" t="s">
        <v>229</v>
      </c>
      <c r="C482" s="65" t="s">
        <v>958</v>
      </c>
      <c r="D482" s="65">
        <v>0</v>
      </c>
      <c r="E482" s="65"/>
      <c r="F482" s="70">
        <v>-855.39</v>
      </c>
      <c r="G482" s="70">
        <v>-9.2899999999999991</v>
      </c>
      <c r="H482" s="70">
        <v>-15.48</v>
      </c>
      <c r="I482" s="70">
        <v>0.14000000000000001</v>
      </c>
      <c r="J482" s="70">
        <v>-58.89</v>
      </c>
      <c r="K482" s="70">
        <v>-4.1100000000000003</v>
      </c>
      <c r="L482" s="64">
        <f t="shared" si="7"/>
        <v>855.39</v>
      </c>
    </row>
    <row r="483" spans="1:12" x14ac:dyDescent="0.25">
      <c r="A483" s="65">
        <v>1765</v>
      </c>
      <c r="B483" s="65" t="s">
        <v>229</v>
      </c>
      <c r="C483" s="65" t="s">
        <v>298</v>
      </c>
      <c r="D483" s="65">
        <v>0</v>
      </c>
      <c r="E483" s="65"/>
      <c r="F483" s="70">
        <v>-854.4</v>
      </c>
      <c r="G483" s="70">
        <v>-9.2100000000000009</v>
      </c>
      <c r="H483" s="70">
        <v>-15.65</v>
      </c>
      <c r="I483" s="70">
        <v>0.14000000000000001</v>
      </c>
      <c r="J483" s="70">
        <v>-58.59</v>
      </c>
      <c r="K483" s="70">
        <v>-4.08</v>
      </c>
      <c r="L483" s="64">
        <f t="shared" si="7"/>
        <v>854.4</v>
      </c>
    </row>
    <row r="484" spans="1:12" x14ac:dyDescent="0.25">
      <c r="A484" s="65">
        <v>2187</v>
      </c>
      <c r="B484" s="65" t="s">
        <v>229</v>
      </c>
      <c r="C484" s="65" t="s">
        <v>711</v>
      </c>
      <c r="D484" s="65">
        <v>4</v>
      </c>
      <c r="E484" s="65"/>
      <c r="F484" s="70">
        <v>-216.35</v>
      </c>
      <c r="G484" s="70">
        <v>-12.05</v>
      </c>
      <c r="H484" s="70">
        <v>-15.83</v>
      </c>
      <c r="I484" s="70">
        <v>-0.63</v>
      </c>
      <c r="J484" s="70">
        <v>-15.44</v>
      </c>
      <c r="K484" s="70">
        <v>6.39</v>
      </c>
      <c r="L484" s="64">
        <f t="shared" si="7"/>
        <v>216.35</v>
      </c>
    </row>
    <row r="485" spans="1:12" x14ac:dyDescent="0.25">
      <c r="A485" s="65">
        <v>2123</v>
      </c>
      <c r="B485" s="65" t="s">
        <v>229</v>
      </c>
      <c r="C485" s="65" t="s">
        <v>655</v>
      </c>
      <c r="D485" s="65">
        <v>4</v>
      </c>
      <c r="E485" s="65"/>
      <c r="F485" s="70">
        <v>509.78</v>
      </c>
      <c r="G485" s="70">
        <v>-7.79</v>
      </c>
      <c r="H485" s="70">
        <v>-15.93</v>
      </c>
      <c r="I485" s="70">
        <v>-0.74</v>
      </c>
      <c r="J485" s="70">
        <v>59.52</v>
      </c>
      <c r="K485" s="70">
        <v>3.95</v>
      </c>
      <c r="L485" s="64">
        <f t="shared" si="7"/>
        <v>-509.78</v>
      </c>
    </row>
    <row r="486" spans="1:12" x14ac:dyDescent="0.25">
      <c r="A486" s="65">
        <v>2063</v>
      </c>
      <c r="B486" s="65" t="s">
        <v>229</v>
      </c>
      <c r="C486" s="65" t="s">
        <v>606</v>
      </c>
      <c r="D486" s="65">
        <v>0</v>
      </c>
      <c r="E486" s="65"/>
      <c r="F486" s="70">
        <v>-435.82</v>
      </c>
      <c r="G486" s="70">
        <v>-13.7</v>
      </c>
      <c r="H486" s="70">
        <v>-16.420000000000002</v>
      </c>
      <c r="I486" s="70">
        <v>-0.55000000000000004</v>
      </c>
      <c r="J486" s="70">
        <v>-19.43</v>
      </c>
      <c r="K486" s="70">
        <v>-7.29</v>
      </c>
      <c r="L486" s="64">
        <f t="shared" si="7"/>
        <v>435.82</v>
      </c>
    </row>
    <row r="487" spans="1:12" x14ac:dyDescent="0.25">
      <c r="A487" s="65">
        <v>2042</v>
      </c>
      <c r="B487" s="65" t="s">
        <v>229</v>
      </c>
      <c r="C487" s="65" t="s">
        <v>565</v>
      </c>
      <c r="D487" s="65">
        <v>4</v>
      </c>
      <c r="E487" s="65"/>
      <c r="F487" s="70">
        <v>-822.63</v>
      </c>
      <c r="G487" s="70">
        <v>-11.28</v>
      </c>
      <c r="H487" s="70">
        <v>-16.489999999999998</v>
      </c>
      <c r="I487" s="70">
        <v>-0.21</v>
      </c>
      <c r="J487" s="70">
        <v>-40.42</v>
      </c>
      <c r="K487" s="70">
        <v>6.29</v>
      </c>
      <c r="L487" s="64">
        <f t="shared" si="7"/>
        <v>822.63</v>
      </c>
    </row>
    <row r="488" spans="1:12" x14ac:dyDescent="0.25">
      <c r="A488" s="65">
        <v>2180</v>
      </c>
      <c r="B488" s="65" t="s">
        <v>229</v>
      </c>
      <c r="C488" s="65" t="s">
        <v>697</v>
      </c>
      <c r="D488" s="65">
        <v>4</v>
      </c>
      <c r="E488" s="65"/>
      <c r="F488" s="70">
        <v>-822.75</v>
      </c>
      <c r="G488" s="70">
        <v>-11.33</v>
      </c>
      <c r="H488" s="70">
        <v>-16.64</v>
      </c>
      <c r="I488" s="70">
        <v>-0.21</v>
      </c>
      <c r="J488" s="70">
        <v>-40.15</v>
      </c>
      <c r="K488" s="70">
        <v>6.32</v>
      </c>
      <c r="L488" s="64">
        <f t="shared" si="7"/>
        <v>822.75</v>
      </c>
    </row>
    <row r="489" spans="1:12" x14ac:dyDescent="0.25">
      <c r="A489" s="65">
        <v>2201</v>
      </c>
      <c r="B489" s="65" t="s">
        <v>229</v>
      </c>
      <c r="C489" s="65" t="s">
        <v>738</v>
      </c>
      <c r="D489" s="65">
        <v>0</v>
      </c>
      <c r="E489" s="65"/>
      <c r="F489" s="70">
        <v>-434.59</v>
      </c>
      <c r="G489" s="70">
        <v>-13.67</v>
      </c>
      <c r="H489" s="70">
        <v>-16.78</v>
      </c>
      <c r="I489" s="70">
        <v>-0.55000000000000004</v>
      </c>
      <c r="J489" s="70">
        <v>-19.71</v>
      </c>
      <c r="K489" s="70">
        <v>-7.28</v>
      </c>
      <c r="L489" s="64">
        <f t="shared" si="7"/>
        <v>434.59</v>
      </c>
    </row>
    <row r="490" spans="1:12" x14ac:dyDescent="0.25">
      <c r="A490" s="65">
        <v>22</v>
      </c>
      <c r="B490" s="65" t="s">
        <v>229</v>
      </c>
      <c r="C490" s="65" t="s">
        <v>235</v>
      </c>
      <c r="D490" s="65">
        <v>4</v>
      </c>
      <c r="E490" s="65"/>
      <c r="F490" s="70">
        <v>-432.38</v>
      </c>
      <c r="G490" s="70">
        <v>-1.5</v>
      </c>
      <c r="H490" s="70">
        <v>-16.87</v>
      </c>
      <c r="I490" s="70">
        <v>-7.0000000000000007E-2</v>
      </c>
      <c r="J490" s="70">
        <v>-23.46</v>
      </c>
      <c r="K490" s="70">
        <v>0.84</v>
      </c>
      <c r="L490" s="64">
        <f t="shared" si="7"/>
        <v>432.38</v>
      </c>
    </row>
    <row r="491" spans="1:12" x14ac:dyDescent="0.25">
      <c r="A491" s="65">
        <v>2525</v>
      </c>
      <c r="B491" s="65" t="s">
        <v>229</v>
      </c>
      <c r="C491" s="65" t="s">
        <v>1027</v>
      </c>
      <c r="D491" s="65">
        <v>4</v>
      </c>
      <c r="E491" s="65"/>
      <c r="F491" s="70">
        <v>-433.01</v>
      </c>
      <c r="G491" s="70">
        <v>-1.52</v>
      </c>
      <c r="H491" s="70">
        <v>-17.07</v>
      </c>
      <c r="I491" s="70">
        <v>-7.0000000000000007E-2</v>
      </c>
      <c r="J491" s="70">
        <v>-23.32</v>
      </c>
      <c r="K491" s="70">
        <v>0.85</v>
      </c>
      <c r="L491" s="64">
        <f t="shared" si="7"/>
        <v>433.01</v>
      </c>
    </row>
    <row r="492" spans="1:12" x14ac:dyDescent="0.25">
      <c r="A492" s="65">
        <v>1975</v>
      </c>
      <c r="B492" s="65" t="s">
        <v>229</v>
      </c>
      <c r="C492" s="65" t="s">
        <v>503</v>
      </c>
      <c r="D492" s="65">
        <v>4</v>
      </c>
      <c r="E492" s="65"/>
      <c r="F492" s="70">
        <v>-710.9</v>
      </c>
      <c r="G492" s="70">
        <v>-13.81</v>
      </c>
      <c r="H492" s="70">
        <v>-17.18</v>
      </c>
      <c r="I492" s="70">
        <v>-0.41</v>
      </c>
      <c r="J492" s="70">
        <v>-32</v>
      </c>
      <c r="K492" s="70">
        <v>7.5</v>
      </c>
      <c r="L492" s="64">
        <f t="shared" si="7"/>
        <v>710.9</v>
      </c>
    </row>
    <row r="493" spans="1:12" x14ac:dyDescent="0.25">
      <c r="A493" s="65">
        <v>2118</v>
      </c>
      <c r="B493" s="65" t="s">
        <v>229</v>
      </c>
      <c r="C493" s="65" t="s">
        <v>644</v>
      </c>
      <c r="D493" s="65">
        <v>0</v>
      </c>
      <c r="E493" s="65"/>
      <c r="F493" s="70">
        <v>-213.74</v>
      </c>
      <c r="G493" s="70">
        <v>-12.05</v>
      </c>
      <c r="H493" s="70">
        <v>-17.5</v>
      </c>
      <c r="I493" s="70">
        <v>-0.63</v>
      </c>
      <c r="J493" s="70">
        <v>-16.649999999999999</v>
      </c>
      <c r="K493" s="70">
        <v>-5.53</v>
      </c>
      <c r="L493" s="64">
        <f t="shared" si="7"/>
        <v>213.74</v>
      </c>
    </row>
    <row r="494" spans="1:12" x14ac:dyDescent="0.25">
      <c r="A494" s="65">
        <v>1974</v>
      </c>
      <c r="B494" s="65" t="s">
        <v>229</v>
      </c>
      <c r="C494" s="65" t="s">
        <v>501</v>
      </c>
      <c r="D494" s="65">
        <v>4</v>
      </c>
      <c r="E494" s="65"/>
      <c r="F494" s="70">
        <v>-785.24</v>
      </c>
      <c r="G494" s="70">
        <v>-12.8</v>
      </c>
      <c r="H494" s="70">
        <v>-17.510000000000002</v>
      </c>
      <c r="I494" s="70">
        <v>-0.31</v>
      </c>
      <c r="J494" s="70">
        <v>-35.619999999999997</v>
      </c>
      <c r="K494" s="70">
        <v>7.05</v>
      </c>
      <c r="L494" s="64">
        <f t="shared" si="7"/>
        <v>785.24</v>
      </c>
    </row>
    <row r="495" spans="1:12" x14ac:dyDescent="0.25">
      <c r="A495" s="65">
        <v>2250</v>
      </c>
      <c r="B495" s="65" t="s">
        <v>229</v>
      </c>
      <c r="C495" s="65" t="s">
        <v>765</v>
      </c>
      <c r="D495" s="65">
        <v>4</v>
      </c>
      <c r="E495" s="65"/>
      <c r="F495" s="70">
        <v>-785.67</v>
      </c>
      <c r="G495" s="70">
        <v>-12.93</v>
      </c>
      <c r="H495" s="70">
        <v>-17.72</v>
      </c>
      <c r="I495" s="70">
        <v>-0.31</v>
      </c>
      <c r="J495" s="70">
        <v>-35.21</v>
      </c>
      <c r="K495" s="70">
        <v>7.12</v>
      </c>
      <c r="L495" s="64">
        <f t="shared" si="7"/>
        <v>785.67</v>
      </c>
    </row>
    <row r="496" spans="1:12" x14ac:dyDescent="0.25">
      <c r="A496" s="65">
        <v>2251</v>
      </c>
      <c r="B496" s="65" t="s">
        <v>229</v>
      </c>
      <c r="C496" s="65" t="s">
        <v>767</v>
      </c>
      <c r="D496" s="65">
        <v>4</v>
      </c>
      <c r="E496" s="65"/>
      <c r="F496" s="70">
        <v>-711.48</v>
      </c>
      <c r="G496" s="70">
        <v>-13.94</v>
      </c>
      <c r="H496" s="70">
        <v>-17.8</v>
      </c>
      <c r="I496" s="70">
        <v>-0.41</v>
      </c>
      <c r="J496" s="70">
        <v>-31.4</v>
      </c>
      <c r="K496" s="70">
        <v>7.56</v>
      </c>
      <c r="L496" s="64">
        <f t="shared" si="7"/>
        <v>711.48</v>
      </c>
    </row>
    <row r="497" spans="1:12" x14ac:dyDescent="0.25">
      <c r="A497" s="65">
        <v>2044</v>
      </c>
      <c r="B497" s="65" t="s">
        <v>229</v>
      </c>
      <c r="C497" s="65" t="s">
        <v>568</v>
      </c>
      <c r="D497" s="65">
        <v>0</v>
      </c>
      <c r="E497" s="65"/>
      <c r="F497" s="70">
        <v>-709.03</v>
      </c>
      <c r="G497" s="70">
        <v>-13.84</v>
      </c>
      <c r="H497" s="70">
        <v>-18</v>
      </c>
      <c r="I497" s="70">
        <v>-0.41</v>
      </c>
      <c r="J497" s="70">
        <v>-34.090000000000003</v>
      </c>
      <c r="K497" s="70">
        <v>-6.16</v>
      </c>
      <c r="L497" s="64">
        <f t="shared" si="7"/>
        <v>709.03</v>
      </c>
    </row>
    <row r="498" spans="1:12" x14ac:dyDescent="0.25">
      <c r="A498" s="65">
        <v>2111</v>
      </c>
      <c r="B498" s="65" t="s">
        <v>229</v>
      </c>
      <c r="C498" s="65" t="s">
        <v>630</v>
      </c>
      <c r="D498" s="65">
        <v>0</v>
      </c>
      <c r="E498" s="65"/>
      <c r="F498" s="70">
        <v>-822</v>
      </c>
      <c r="G498" s="70">
        <v>-11.3</v>
      </c>
      <c r="H498" s="70">
        <v>-18.04</v>
      </c>
      <c r="I498" s="70">
        <v>-0.21</v>
      </c>
      <c r="J498" s="70">
        <v>-53.44</v>
      </c>
      <c r="K498" s="70">
        <v>-4.96</v>
      </c>
      <c r="L498" s="64">
        <f t="shared" si="7"/>
        <v>822</v>
      </c>
    </row>
    <row r="499" spans="1:12" x14ac:dyDescent="0.25">
      <c r="A499" s="65">
        <v>2048</v>
      </c>
      <c r="B499" s="65" t="s">
        <v>229</v>
      </c>
      <c r="C499" s="65" t="s">
        <v>576</v>
      </c>
      <c r="D499" s="65">
        <v>0</v>
      </c>
      <c r="E499" s="65"/>
      <c r="F499" s="70">
        <v>-334.51</v>
      </c>
      <c r="G499" s="70">
        <v>-12.98</v>
      </c>
      <c r="H499" s="70">
        <v>-18.13</v>
      </c>
      <c r="I499" s="70">
        <v>-0.59</v>
      </c>
      <c r="J499" s="70">
        <v>-19.64</v>
      </c>
      <c r="K499" s="70">
        <v>-5.94</v>
      </c>
      <c r="L499" s="64">
        <f t="shared" si="7"/>
        <v>334.51</v>
      </c>
    </row>
    <row r="500" spans="1:12" x14ac:dyDescent="0.25">
      <c r="A500" s="65">
        <v>2182</v>
      </c>
      <c r="B500" s="65" t="s">
        <v>229</v>
      </c>
      <c r="C500" s="65" t="s">
        <v>700</v>
      </c>
      <c r="D500" s="65">
        <v>0</v>
      </c>
      <c r="E500" s="65"/>
      <c r="F500" s="70">
        <v>-709.36</v>
      </c>
      <c r="G500" s="70">
        <v>-13.91</v>
      </c>
      <c r="H500" s="70">
        <v>-18.32</v>
      </c>
      <c r="I500" s="70">
        <v>-0.41</v>
      </c>
      <c r="J500" s="70">
        <v>-34.57</v>
      </c>
      <c r="K500" s="70">
        <v>-6.19</v>
      </c>
      <c r="L500" s="64">
        <f t="shared" si="7"/>
        <v>709.36</v>
      </c>
    </row>
    <row r="501" spans="1:12" x14ac:dyDescent="0.25">
      <c r="A501" s="65">
        <v>2045</v>
      </c>
      <c r="B501" s="65" t="s">
        <v>229</v>
      </c>
      <c r="C501" s="65" t="s">
        <v>571</v>
      </c>
      <c r="D501" s="65">
        <v>4</v>
      </c>
      <c r="E501" s="65"/>
      <c r="F501" s="70">
        <v>-614.30999999999995</v>
      </c>
      <c r="G501" s="70">
        <v>-14.25</v>
      </c>
      <c r="H501" s="70">
        <v>-18.5</v>
      </c>
      <c r="I501" s="70">
        <v>-0.48</v>
      </c>
      <c r="J501" s="70">
        <v>-14.68</v>
      </c>
      <c r="K501" s="70">
        <v>7.64</v>
      </c>
      <c r="L501" s="64">
        <f t="shared" si="7"/>
        <v>614.30999999999995</v>
      </c>
    </row>
    <row r="502" spans="1:12" x14ac:dyDescent="0.25">
      <c r="A502" s="65">
        <v>2186</v>
      </c>
      <c r="B502" s="65" t="s">
        <v>229</v>
      </c>
      <c r="C502" s="65" t="s">
        <v>708</v>
      </c>
      <c r="D502" s="65">
        <v>0</v>
      </c>
      <c r="E502" s="65"/>
      <c r="F502" s="70">
        <v>-336.03</v>
      </c>
      <c r="G502" s="70">
        <v>-13</v>
      </c>
      <c r="H502" s="70">
        <v>-18.52</v>
      </c>
      <c r="I502" s="70">
        <v>-0.59</v>
      </c>
      <c r="J502" s="70">
        <v>-19.95</v>
      </c>
      <c r="K502" s="70">
        <v>-5.95</v>
      </c>
      <c r="L502" s="64">
        <f t="shared" si="7"/>
        <v>336.03</v>
      </c>
    </row>
    <row r="503" spans="1:12" x14ac:dyDescent="0.25">
      <c r="A503" s="65">
        <v>2043</v>
      </c>
      <c r="B503" s="65" t="s">
        <v>229</v>
      </c>
      <c r="C503" s="65" t="s">
        <v>566</v>
      </c>
      <c r="D503" s="65">
        <v>0</v>
      </c>
      <c r="E503" s="65"/>
      <c r="F503" s="70">
        <v>-784.01</v>
      </c>
      <c r="G503" s="70">
        <v>-12.83</v>
      </c>
      <c r="H503" s="70">
        <v>-18.55</v>
      </c>
      <c r="I503" s="70">
        <v>-0.31</v>
      </c>
      <c r="J503" s="70">
        <v>-40.75</v>
      </c>
      <c r="K503" s="70">
        <v>-5.61</v>
      </c>
      <c r="L503" s="64">
        <f t="shared" si="7"/>
        <v>784.01</v>
      </c>
    </row>
    <row r="504" spans="1:12" x14ac:dyDescent="0.25">
      <c r="A504" s="65">
        <v>2181</v>
      </c>
      <c r="B504" s="65" t="s">
        <v>229</v>
      </c>
      <c r="C504" s="65" t="s">
        <v>698</v>
      </c>
      <c r="D504" s="65">
        <v>0</v>
      </c>
      <c r="E504" s="65"/>
      <c r="F504" s="70">
        <v>-784.08</v>
      </c>
      <c r="G504" s="70">
        <v>-12.9</v>
      </c>
      <c r="H504" s="70">
        <v>-18.579999999999998</v>
      </c>
      <c r="I504" s="70">
        <v>-0.31</v>
      </c>
      <c r="J504" s="70">
        <v>-41.15</v>
      </c>
      <c r="K504" s="70">
        <v>-5.64</v>
      </c>
      <c r="L504" s="64">
        <f t="shared" si="7"/>
        <v>784.08</v>
      </c>
    </row>
    <row r="505" spans="1:12" x14ac:dyDescent="0.25">
      <c r="A505" s="65">
        <v>23</v>
      </c>
      <c r="B505" s="65" t="s">
        <v>229</v>
      </c>
      <c r="C505" s="65" t="s">
        <v>237</v>
      </c>
      <c r="D505" s="65">
        <v>4</v>
      </c>
      <c r="E505" s="65"/>
      <c r="F505" s="70">
        <v>-408.09</v>
      </c>
      <c r="G505" s="70">
        <v>-1.7</v>
      </c>
      <c r="H505" s="70">
        <v>-18.649999999999999</v>
      </c>
      <c r="I505" s="70">
        <v>-0.09</v>
      </c>
      <c r="J505" s="70">
        <v>-21.65</v>
      </c>
      <c r="K505" s="70">
        <v>0.94</v>
      </c>
      <c r="L505" s="64">
        <f t="shared" si="7"/>
        <v>408.09</v>
      </c>
    </row>
    <row r="506" spans="1:12" x14ac:dyDescent="0.25">
      <c r="A506" s="65">
        <v>2120</v>
      </c>
      <c r="B506" s="65" t="s">
        <v>229</v>
      </c>
      <c r="C506" s="65" t="s">
        <v>649</v>
      </c>
      <c r="D506" s="65">
        <v>4</v>
      </c>
      <c r="E506" s="65"/>
      <c r="F506" s="70">
        <v>224.36</v>
      </c>
      <c r="G506" s="70">
        <v>-9.89</v>
      </c>
      <c r="H506" s="70">
        <v>-18.690000000000001</v>
      </c>
      <c r="I506" s="70">
        <v>-0.69</v>
      </c>
      <c r="J506" s="70">
        <v>30.62</v>
      </c>
      <c r="K506" s="70">
        <v>5.2</v>
      </c>
      <c r="L506" s="64">
        <f t="shared" si="7"/>
        <v>-224.36</v>
      </c>
    </row>
    <row r="507" spans="1:12" x14ac:dyDescent="0.25">
      <c r="A507" s="65">
        <v>2526</v>
      </c>
      <c r="B507" s="65" t="s">
        <v>229</v>
      </c>
      <c r="C507" s="65" t="s">
        <v>1029</v>
      </c>
      <c r="D507" s="65">
        <v>4</v>
      </c>
      <c r="E507" s="65"/>
      <c r="F507" s="70">
        <v>-408.93</v>
      </c>
      <c r="G507" s="70">
        <v>-1.73</v>
      </c>
      <c r="H507" s="70">
        <v>-19.100000000000001</v>
      </c>
      <c r="I507" s="70">
        <v>-0.1</v>
      </c>
      <c r="J507" s="70">
        <v>-21.35</v>
      </c>
      <c r="K507" s="70">
        <v>0.95</v>
      </c>
      <c r="L507" s="64">
        <f t="shared" si="7"/>
        <v>408.93</v>
      </c>
    </row>
    <row r="508" spans="1:12" x14ac:dyDescent="0.25">
      <c r="A508" s="65">
        <v>2183</v>
      </c>
      <c r="B508" s="65" t="s">
        <v>229</v>
      </c>
      <c r="C508" s="65" t="s">
        <v>703</v>
      </c>
      <c r="D508" s="65">
        <v>4</v>
      </c>
      <c r="E508" s="65"/>
      <c r="F508" s="70">
        <v>-614.98</v>
      </c>
      <c r="G508" s="70">
        <v>-14.29</v>
      </c>
      <c r="H508" s="70">
        <v>-19.18</v>
      </c>
      <c r="I508" s="70">
        <v>-0.48</v>
      </c>
      <c r="J508" s="70">
        <v>-14.36</v>
      </c>
      <c r="K508" s="70">
        <v>7.66</v>
      </c>
      <c r="L508" s="64">
        <f t="shared" si="7"/>
        <v>614.98</v>
      </c>
    </row>
    <row r="509" spans="1:12" x14ac:dyDescent="0.25">
      <c r="A509" s="65">
        <v>22</v>
      </c>
      <c r="B509" s="65" t="s">
        <v>229</v>
      </c>
      <c r="C509" s="65" t="s">
        <v>234</v>
      </c>
      <c r="D509" s="65">
        <v>0</v>
      </c>
      <c r="E509" s="65"/>
      <c r="F509" s="70">
        <v>-436.3</v>
      </c>
      <c r="G509" s="70">
        <v>-1.5</v>
      </c>
      <c r="H509" s="70">
        <v>-19.29</v>
      </c>
      <c r="I509" s="70">
        <v>-7.0000000000000007E-2</v>
      </c>
      <c r="J509" s="70">
        <v>-30.56</v>
      </c>
      <c r="K509" s="70">
        <v>-0.66</v>
      </c>
      <c r="L509" s="64">
        <f t="shared" si="7"/>
        <v>436.3</v>
      </c>
    </row>
    <row r="510" spans="1:12" x14ac:dyDescent="0.25">
      <c r="A510" s="65">
        <v>2121</v>
      </c>
      <c r="B510" s="65" t="s">
        <v>229</v>
      </c>
      <c r="C510" s="65" t="s">
        <v>651</v>
      </c>
      <c r="D510" s="65">
        <v>4</v>
      </c>
      <c r="E510" s="65"/>
      <c r="F510" s="70">
        <v>345.36</v>
      </c>
      <c r="G510" s="70">
        <v>-8.99</v>
      </c>
      <c r="H510" s="70">
        <v>-19.48</v>
      </c>
      <c r="I510" s="70">
        <v>-0.72</v>
      </c>
      <c r="J510" s="70">
        <v>43.95</v>
      </c>
      <c r="K510" s="70">
        <v>4.6900000000000004</v>
      </c>
      <c r="L510" s="64">
        <f t="shared" si="7"/>
        <v>-345.36</v>
      </c>
    </row>
    <row r="511" spans="1:12" x14ac:dyDescent="0.25">
      <c r="A511" s="65">
        <v>2525</v>
      </c>
      <c r="B511" s="65" t="s">
        <v>229</v>
      </c>
      <c r="C511" s="65" t="s">
        <v>1026</v>
      </c>
      <c r="D511" s="65">
        <v>0</v>
      </c>
      <c r="E511" s="65"/>
      <c r="F511" s="70">
        <v>-436.93</v>
      </c>
      <c r="G511" s="70">
        <v>-1.52</v>
      </c>
      <c r="H511" s="70">
        <v>-19.5</v>
      </c>
      <c r="I511" s="70">
        <v>-7.0000000000000007E-2</v>
      </c>
      <c r="J511" s="70">
        <v>-30.76</v>
      </c>
      <c r="K511" s="70">
        <v>-0.67</v>
      </c>
      <c r="L511" s="64">
        <f t="shared" si="7"/>
        <v>436.93</v>
      </c>
    </row>
    <row r="512" spans="1:12" x14ac:dyDescent="0.25">
      <c r="A512" s="65">
        <v>1973</v>
      </c>
      <c r="B512" s="65" t="s">
        <v>229</v>
      </c>
      <c r="C512" s="65" t="s">
        <v>499</v>
      </c>
      <c r="D512" s="65">
        <v>4</v>
      </c>
      <c r="E512" s="65"/>
      <c r="F512" s="70">
        <v>-831.23</v>
      </c>
      <c r="G512" s="70">
        <v>-11.25</v>
      </c>
      <c r="H512" s="70">
        <v>-20.059999999999999</v>
      </c>
      <c r="I512" s="70">
        <v>-0.21</v>
      </c>
      <c r="J512" s="70">
        <v>-41.61</v>
      </c>
      <c r="K512" s="70">
        <v>6.27</v>
      </c>
      <c r="L512" s="64">
        <f t="shared" si="7"/>
        <v>831.23</v>
      </c>
    </row>
    <row r="513" spans="1:12" x14ac:dyDescent="0.25">
      <c r="A513" s="65">
        <v>2122</v>
      </c>
      <c r="B513" s="65" t="s">
        <v>229</v>
      </c>
      <c r="C513" s="65" t="s">
        <v>653</v>
      </c>
      <c r="D513" s="65">
        <v>4</v>
      </c>
      <c r="E513" s="65"/>
      <c r="F513" s="70">
        <v>444.89</v>
      </c>
      <c r="G513" s="70">
        <v>-8.35</v>
      </c>
      <c r="H513" s="70">
        <v>-20.149999999999999</v>
      </c>
      <c r="I513" s="70">
        <v>-0.72</v>
      </c>
      <c r="J513" s="70">
        <v>54.96</v>
      </c>
      <c r="K513" s="70">
        <v>4.3</v>
      </c>
      <c r="L513" s="64">
        <f t="shared" si="7"/>
        <v>-444.89</v>
      </c>
    </row>
    <row r="514" spans="1:12" x14ac:dyDescent="0.25">
      <c r="A514" s="65">
        <v>2124</v>
      </c>
      <c r="B514" s="65" t="s">
        <v>229</v>
      </c>
      <c r="C514" s="65" t="s">
        <v>656</v>
      </c>
      <c r="D514" s="65">
        <v>0</v>
      </c>
      <c r="E514" s="65"/>
      <c r="F514" s="70">
        <v>534.5</v>
      </c>
      <c r="G514" s="70">
        <v>-7.52</v>
      </c>
      <c r="H514" s="70">
        <v>-20.27</v>
      </c>
      <c r="I514" s="70">
        <v>-0.74</v>
      </c>
      <c r="J514" s="70">
        <v>59.54</v>
      </c>
      <c r="K514" s="70">
        <v>-3.75</v>
      </c>
      <c r="L514" s="64">
        <f t="shared" si="7"/>
        <v>-534.5</v>
      </c>
    </row>
    <row r="515" spans="1:12" x14ac:dyDescent="0.25">
      <c r="A515" s="65">
        <v>2249</v>
      </c>
      <c r="B515" s="65" t="s">
        <v>229</v>
      </c>
      <c r="C515" s="65" t="s">
        <v>763</v>
      </c>
      <c r="D515" s="65">
        <v>4</v>
      </c>
      <c r="E515" s="65"/>
      <c r="F515" s="70">
        <v>-831.44</v>
      </c>
      <c r="G515" s="70">
        <v>-11.35</v>
      </c>
      <c r="H515" s="70">
        <v>-20.28</v>
      </c>
      <c r="I515" s="70">
        <v>-0.22</v>
      </c>
      <c r="J515" s="70">
        <v>-41.34</v>
      </c>
      <c r="K515" s="70">
        <v>6.33</v>
      </c>
      <c r="L515" s="64">
        <f t="shared" ref="L515:L578" si="8">F515*-1</f>
        <v>831.44</v>
      </c>
    </row>
    <row r="516" spans="1:12" x14ac:dyDescent="0.25">
      <c r="A516" s="65">
        <v>1977</v>
      </c>
      <c r="B516" s="65" t="s">
        <v>229</v>
      </c>
      <c r="C516" s="65" t="s">
        <v>506</v>
      </c>
      <c r="D516" s="65">
        <v>0</v>
      </c>
      <c r="E516" s="65"/>
      <c r="F516" s="70">
        <v>-537.4</v>
      </c>
      <c r="G516" s="70">
        <v>-14.13</v>
      </c>
      <c r="H516" s="70">
        <v>-20.97</v>
      </c>
      <c r="I516" s="70">
        <v>-0.51</v>
      </c>
      <c r="J516" s="70">
        <v>-17.75</v>
      </c>
      <c r="K516" s="70">
        <v>-6.44</v>
      </c>
      <c r="L516" s="64">
        <f t="shared" si="8"/>
        <v>537.4</v>
      </c>
    </row>
    <row r="517" spans="1:12" x14ac:dyDescent="0.25">
      <c r="A517" s="65">
        <v>2054</v>
      </c>
      <c r="B517" s="65" t="s">
        <v>229</v>
      </c>
      <c r="C517" s="65" t="s">
        <v>589</v>
      </c>
      <c r="D517" s="65">
        <v>4</v>
      </c>
      <c r="E517" s="65"/>
      <c r="F517" s="70">
        <v>510.34</v>
      </c>
      <c r="G517" s="70">
        <v>-7.79</v>
      </c>
      <c r="H517" s="70">
        <v>-21.15</v>
      </c>
      <c r="I517" s="70">
        <v>-0.74</v>
      </c>
      <c r="J517" s="70">
        <v>62.2</v>
      </c>
      <c r="K517" s="70">
        <v>3.95</v>
      </c>
      <c r="L517" s="64">
        <f t="shared" si="8"/>
        <v>-510.34</v>
      </c>
    </row>
    <row r="518" spans="1:12" x14ac:dyDescent="0.25">
      <c r="A518" s="65">
        <v>2042</v>
      </c>
      <c r="B518" s="65" t="s">
        <v>229</v>
      </c>
      <c r="C518" s="65" t="s">
        <v>564</v>
      </c>
      <c r="D518" s="65">
        <v>0</v>
      </c>
      <c r="E518" s="65"/>
      <c r="F518" s="70">
        <v>-830.46</v>
      </c>
      <c r="G518" s="70">
        <v>-11.28</v>
      </c>
      <c r="H518" s="70">
        <v>-21.33</v>
      </c>
      <c r="I518" s="70">
        <v>-0.21</v>
      </c>
      <c r="J518" s="70">
        <v>-54.27</v>
      </c>
      <c r="K518" s="70">
        <v>-4.95</v>
      </c>
      <c r="L518" s="64">
        <f t="shared" si="8"/>
        <v>830.46</v>
      </c>
    </row>
    <row r="519" spans="1:12" x14ac:dyDescent="0.25">
      <c r="A519" s="65">
        <v>2050</v>
      </c>
      <c r="B519" s="65" t="s">
        <v>229</v>
      </c>
      <c r="C519" s="65" t="s">
        <v>581</v>
      </c>
      <c r="D519" s="65">
        <v>4</v>
      </c>
      <c r="E519" s="65"/>
      <c r="F519" s="70">
        <v>109.47</v>
      </c>
      <c r="G519" s="70">
        <v>-10.8</v>
      </c>
      <c r="H519" s="70">
        <v>-21.4</v>
      </c>
      <c r="I519" s="70">
        <v>-0.67</v>
      </c>
      <c r="J519" s="70">
        <v>19.02</v>
      </c>
      <c r="K519" s="70">
        <v>5.71</v>
      </c>
      <c r="L519" s="64">
        <f t="shared" si="8"/>
        <v>-109.47</v>
      </c>
    </row>
    <row r="520" spans="1:12" x14ac:dyDescent="0.25">
      <c r="A520" s="65">
        <v>2180</v>
      </c>
      <c r="B520" s="65" t="s">
        <v>229</v>
      </c>
      <c r="C520" s="65" t="s">
        <v>696</v>
      </c>
      <c r="D520" s="65">
        <v>0</v>
      </c>
      <c r="E520" s="65"/>
      <c r="F520" s="70">
        <v>-830.59</v>
      </c>
      <c r="G520" s="70">
        <v>-11.33</v>
      </c>
      <c r="H520" s="70">
        <v>-21.48</v>
      </c>
      <c r="I520" s="70">
        <v>-0.21</v>
      </c>
      <c r="J520" s="70">
        <v>-54.58</v>
      </c>
      <c r="K520" s="70">
        <v>-4.9800000000000004</v>
      </c>
      <c r="L520" s="64">
        <f t="shared" si="8"/>
        <v>830.59</v>
      </c>
    </row>
    <row r="521" spans="1:12" x14ac:dyDescent="0.25">
      <c r="A521" s="65">
        <v>2192</v>
      </c>
      <c r="B521" s="65" t="s">
        <v>229</v>
      </c>
      <c r="C521" s="65" t="s">
        <v>721</v>
      </c>
      <c r="D521" s="65">
        <v>4</v>
      </c>
      <c r="E521" s="65"/>
      <c r="F521" s="70">
        <v>510.33</v>
      </c>
      <c r="G521" s="70">
        <v>-7.78</v>
      </c>
      <c r="H521" s="70">
        <v>-21.48</v>
      </c>
      <c r="I521" s="70">
        <v>-0.74</v>
      </c>
      <c r="J521" s="70">
        <v>62.33</v>
      </c>
      <c r="K521" s="70">
        <v>3.95</v>
      </c>
      <c r="L521" s="64">
        <f t="shared" si="8"/>
        <v>-510.33</v>
      </c>
    </row>
    <row r="522" spans="1:12" x14ac:dyDescent="0.25">
      <c r="A522" s="65">
        <v>2114</v>
      </c>
      <c r="B522" s="65" t="s">
        <v>229</v>
      </c>
      <c r="C522" s="65" t="s">
        <v>636</v>
      </c>
      <c r="D522" s="65">
        <v>0</v>
      </c>
      <c r="E522" s="65"/>
      <c r="F522" s="70">
        <v>-612.45000000000005</v>
      </c>
      <c r="G522" s="70">
        <v>-14.27</v>
      </c>
      <c r="H522" s="70">
        <v>-21.57</v>
      </c>
      <c r="I522" s="70">
        <v>-0.48</v>
      </c>
      <c r="J522" s="70">
        <v>-27.55</v>
      </c>
      <c r="K522" s="70">
        <v>-6.46</v>
      </c>
      <c r="L522" s="64">
        <f t="shared" si="8"/>
        <v>612.45000000000005</v>
      </c>
    </row>
    <row r="523" spans="1:12" x14ac:dyDescent="0.25">
      <c r="A523" s="69">
        <v>24</v>
      </c>
      <c r="B523" s="69" t="s">
        <v>229</v>
      </c>
      <c r="C523" s="69" t="s">
        <v>239</v>
      </c>
      <c r="D523" s="69">
        <v>4</v>
      </c>
      <c r="E523" s="69"/>
      <c r="F523" s="70">
        <v>-369.24</v>
      </c>
      <c r="G523" s="70">
        <v>-1.84</v>
      </c>
      <c r="H523" s="70">
        <v>-21.61</v>
      </c>
      <c r="I523" s="70">
        <v>-0.12</v>
      </c>
      <c r="J523" s="70">
        <v>-21.06</v>
      </c>
      <c r="K523" s="70">
        <v>1</v>
      </c>
      <c r="L523" s="64">
        <f t="shared" si="8"/>
        <v>369.24</v>
      </c>
    </row>
    <row r="524" spans="1:12" x14ac:dyDescent="0.25">
      <c r="A524" s="65">
        <v>1978</v>
      </c>
      <c r="B524" s="65" t="s">
        <v>229</v>
      </c>
      <c r="C524" s="65" t="s">
        <v>508</v>
      </c>
      <c r="D524" s="65">
        <v>0</v>
      </c>
      <c r="E524" s="65"/>
      <c r="F524" s="70">
        <v>-443</v>
      </c>
      <c r="G524" s="70">
        <v>-13.64</v>
      </c>
      <c r="H524" s="70">
        <v>-21.65</v>
      </c>
      <c r="I524" s="70">
        <v>-0.55000000000000004</v>
      </c>
      <c r="J524" s="70">
        <v>-19.809999999999999</v>
      </c>
      <c r="K524" s="70">
        <v>-6.23</v>
      </c>
      <c r="L524" s="64">
        <f t="shared" si="8"/>
        <v>443</v>
      </c>
    </row>
    <row r="525" spans="1:12" x14ac:dyDescent="0.25">
      <c r="A525" s="65">
        <v>23</v>
      </c>
      <c r="B525" s="65" t="s">
        <v>229</v>
      </c>
      <c r="C525" s="65" t="s">
        <v>236</v>
      </c>
      <c r="D525" s="65">
        <v>0</v>
      </c>
      <c r="E525" s="65"/>
      <c r="F525" s="70">
        <v>-411.45</v>
      </c>
      <c r="G525" s="70">
        <v>-1.7</v>
      </c>
      <c r="H525" s="70">
        <v>-21.79</v>
      </c>
      <c r="I525" s="70">
        <v>-0.09</v>
      </c>
      <c r="J525" s="70">
        <v>-25.56</v>
      </c>
      <c r="K525" s="70">
        <v>-0.74</v>
      </c>
      <c r="L525" s="64">
        <f t="shared" si="8"/>
        <v>411.45</v>
      </c>
    </row>
    <row r="526" spans="1:12" x14ac:dyDescent="0.25">
      <c r="A526" s="65">
        <v>2188</v>
      </c>
      <c r="B526" s="65" t="s">
        <v>229</v>
      </c>
      <c r="C526" s="65" t="s">
        <v>713</v>
      </c>
      <c r="D526" s="65">
        <v>4</v>
      </c>
      <c r="E526" s="65"/>
      <c r="F526" s="70">
        <v>109.51</v>
      </c>
      <c r="G526" s="70">
        <v>-10.8</v>
      </c>
      <c r="H526" s="70">
        <v>-21.89</v>
      </c>
      <c r="I526" s="70">
        <v>-0.67</v>
      </c>
      <c r="J526" s="70">
        <v>19.02</v>
      </c>
      <c r="K526" s="70">
        <v>5.72</v>
      </c>
      <c r="L526" s="64">
        <f t="shared" si="8"/>
        <v>-109.51</v>
      </c>
    </row>
    <row r="527" spans="1:12" x14ac:dyDescent="0.25">
      <c r="A527" s="65">
        <v>2253</v>
      </c>
      <c r="B527" s="65" t="s">
        <v>229</v>
      </c>
      <c r="C527" s="65" t="s">
        <v>770</v>
      </c>
      <c r="D527" s="65">
        <v>0</v>
      </c>
      <c r="E527" s="65"/>
      <c r="F527" s="70">
        <v>-538.79</v>
      </c>
      <c r="G527" s="70">
        <v>-14.2</v>
      </c>
      <c r="H527" s="70">
        <v>-21.91</v>
      </c>
      <c r="I527" s="70">
        <v>-0.51</v>
      </c>
      <c r="J527" s="70">
        <v>-18.350000000000001</v>
      </c>
      <c r="K527" s="70">
        <v>-6.47</v>
      </c>
      <c r="L527" s="64">
        <f t="shared" si="8"/>
        <v>538.79</v>
      </c>
    </row>
    <row r="528" spans="1:12" x14ac:dyDescent="0.25">
      <c r="A528" s="65">
        <v>2526</v>
      </c>
      <c r="B528" s="65" t="s">
        <v>229</v>
      </c>
      <c r="C528" s="65" t="s">
        <v>1028</v>
      </c>
      <c r="D528" s="65">
        <v>0</v>
      </c>
      <c r="E528" s="65"/>
      <c r="F528" s="70">
        <v>-412.29</v>
      </c>
      <c r="G528" s="70">
        <v>-1.73</v>
      </c>
      <c r="H528" s="70">
        <v>-22.25</v>
      </c>
      <c r="I528" s="70">
        <v>-0.1</v>
      </c>
      <c r="J528" s="70">
        <v>-25.93</v>
      </c>
      <c r="K528" s="70">
        <v>-0.76</v>
      </c>
      <c r="L528" s="64">
        <f t="shared" si="8"/>
        <v>412.29</v>
      </c>
    </row>
    <row r="529" spans="1:12" x14ac:dyDescent="0.25">
      <c r="A529" s="65">
        <v>2527</v>
      </c>
      <c r="B529" s="65" t="s">
        <v>229</v>
      </c>
      <c r="C529" s="65" t="s">
        <v>1031</v>
      </c>
      <c r="D529" s="65">
        <v>4</v>
      </c>
      <c r="E529" s="65"/>
      <c r="F529" s="70">
        <v>-370.09</v>
      </c>
      <c r="G529" s="70">
        <v>-1.87</v>
      </c>
      <c r="H529" s="70">
        <v>-22.36</v>
      </c>
      <c r="I529" s="70">
        <v>-0.13</v>
      </c>
      <c r="J529" s="70">
        <v>-20.48</v>
      </c>
      <c r="K529" s="70">
        <v>1.01</v>
      </c>
      <c r="L529" s="64">
        <f t="shared" si="8"/>
        <v>370.09</v>
      </c>
    </row>
    <row r="530" spans="1:12" x14ac:dyDescent="0.25">
      <c r="A530" s="65">
        <v>2254</v>
      </c>
      <c r="B530" s="65" t="s">
        <v>229</v>
      </c>
      <c r="C530" s="65" t="s">
        <v>772</v>
      </c>
      <c r="D530" s="65">
        <v>0</v>
      </c>
      <c r="E530" s="65"/>
      <c r="F530" s="70">
        <v>-444.84</v>
      </c>
      <c r="G530" s="70">
        <v>-13.69</v>
      </c>
      <c r="H530" s="70">
        <v>-22.52</v>
      </c>
      <c r="I530" s="70">
        <v>-0.55000000000000004</v>
      </c>
      <c r="J530" s="70">
        <v>-20.38</v>
      </c>
      <c r="K530" s="70">
        <v>-6.26</v>
      </c>
      <c r="L530" s="64">
        <f t="shared" si="8"/>
        <v>444.84</v>
      </c>
    </row>
    <row r="531" spans="1:12" x14ac:dyDescent="0.25">
      <c r="A531" s="65">
        <v>1905</v>
      </c>
      <c r="B531" s="65" t="s">
        <v>229</v>
      </c>
      <c r="C531" s="65" t="s">
        <v>435</v>
      </c>
      <c r="D531" s="65">
        <v>4</v>
      </c>
      <c r="E531" s="65"/>
      <c r="F531" s="70">
        <v>-793.23</v>
      </c>
      <c r="G531" s="70">
        <v>-12.77</v>
      </c>
      <c r="H531" s="70">
        <v>-22.78</v>
      </c>
      <c r="I531" s="70">
        <v>-0.31</v>
      </c>
      <c r="J531" s="70">
        <v>-37.520000000000003</v>
      </c>
      <c r="K531" s="70">
        <v>7.04</v>
      </c>
      <c r="L531" s="64">
        <f t="shared" si="8"/>
        <v>793.23</v>
      </c>
    </row>
    <row r="532" spans="1:12" x14ac:dyDescent="0.25">
      <c r="A532" s="65">
        <v>1995</v>
      </c>
      <c r="B532" s="65" t="s">
        <v>229</v>
      </c>
      <c r="C532" s="65" t="s">
        <v>542</v>
      </c>
      <c r="D532" s="65">
        <v>0</v>
      </c>
      <c r="E532" s="65"/>
      <c r="F532" s="70">
        <v>-534.87</v>
      </c>
      <c r="G532" s="70">
        <v>-14.18</v>
      </c>
      <c r="H532" s="70">
        <v>-22.84</v>
      </c>
      <c r="I532" s="70">
        <v>-0.51</v>
      </c>
      <c r="J532" s="70">
        <v>-19.13</v>
      </c>
      <c r="K532" s="70">
        <v>-7.57</v>
      </c>
      <c r="L532" s="64">
        <f t="shared" si="8"/>
        <v>534.87</v>
      </c>
    </row>
    <row r="533" spans="1:12" x14ac:dyDescent="0.25">
      <c r="A533" s="65">
        <v>1980</v>
      </c>
      <c r="B533" s="65" t="s">
        <v>229</v>
      </c>
      <c r="C533" s="65" t="s">
        <v>513</v>
      </c>
      <c r="D533" s="65">
        <v>4</v>
      </c>
      <c r="E533" s="65"/>
      <c r="F533" s="70">
        <v>-219.31</v>
      </c>
      <c r="G533" s="70">
        <v>-12.03</v>
      </c>
      <c r="H533" s="70">
        <v>-23.01</v>
      </c>
      <c r="I533" s="70">
        <v>-0.63</v>
      </c>
      <c r="J533" s="70">
        <v>-18.739999999999998</v>
      </c>
      <c r="K533" s="70">
        <v>6.38</v>
      </c>
      <c r="L533" s="64">
        <f t="shared" si="8"/>
        <v>219.31</v>
      </c>
    </row>
    <row r="534" spans="1:12" x14ac:dyDescent="0.25">
      <c r="A534" s="65">
        <v>1993</v>
      </c>
      <c r="B534" s="65" t="s">
        <v>229</v>
      </c>
      <c r="C534" s="65" t="s">
        <v>538</v>
      </c>
      <c r="D534" s="65">
        <v>0</v>
      </c>
      <c r="E534" s="65"/>
      <c r="F534" s="70">
        <v>-338.36</v>
      </c>
      <c r="G534" s="70">
        <v>-13</v>
      </c>
      <c r="H534" s="70">
        <v>-23.1</v>
      </c>
      <c r="I534" s="70">
        <v>-0.6</v>
      </c>
      <c r="J534" s="70">
        <v>-21.74</v>
      </c>
      <c r="K534" s="70">
        <v>-6.91</v>
      </c>
      <c r="L534" s="64">
        <f t="shared" si="8"/>
        <v>338.36</v>
      </c>
    </row>
    <row r="535" spans="1:12" x14ac:dyDescent="0.25">
      <c r="A535" s="65">
        <v>2319</v>
      </c>
      <c r="B535" s="65" t="s">
        <v>229</v>
      </c>
      <c r="C535" s="65" t="s">
        <v>831</v>
      </c>
      <c r="D535" s="65">
        <v>4</v>
      </c>
      <c r="E535" s="65"/>
      <c r="F535" s="70">
        <v>-794.06</v>
      </c>
      <c r="G535" s="70">
        <v>-12.95</v>
      </c>
      <c r="H535" s="70">
        <v>-23.17</v>
      </c>
      <c r="I535" s="70">
        <v>-0.31</v>
      </c>
      <c r="J535" s="70">
        <v>-37.07</v>
      </c>
      <c r="K535" s="70">
        <v>7.13</v>
      </c>
      <c r="L535" s="64">
        <f t="shared" si="8"/>
        <v>794.06</v>
      </c>
    </row>
    <row r="536" spans="1:12" x14ac:dyDescent="0.25">
      <c r="A536" s="65">
        <v>2119</v>
      </c>
      <c r="B536" s="65" t="s">
        <v>229</v>
      </c>
      <c r="C536" s="65" t="s">
        <v>646</v>
      </c>
      <c r="D536" s="65">
        <v>0</v>
      </c>
      <c r="E536" s="65"/>
      <c r="F536" s="70">
        <v>107.43</v>
      </c>
      <c r="G536" s="70">
        <v>-10.8</v>
      </c>
      <c r="H536" s="70">
        <v>-23.52</v>
      </c>
      <c r="I536" s="70">
        <v>-0.67</v>
      </c>
      <c r="J536" s="70">
        <v>-13.09</v>
      </c>
      <c r="K536" s="70">
        <v>-4.97</v>
      </c>
      <c r="L536" s="64">
        <f t="shared" si="8"/>
        <v>-107.43</v>
      </c>
    </row>
    <row r="537" spans="1:12" x14ac:dyDescent="0.25">
      <c r="A537" s="65">
        <v>2271</v>
      </c>
      <c r="B537" s="65" t="s">
        <v>229</v>
      </c>
      <c r="C537" s="65" t="s">
        <v>806</v>
      </c>
      <c r="D537" s="65">
        <v>0</v>
      </c>
      <c r="E537" s="65"/>
      <c r="F537" s="70">
        <v>-533.48</v>
      </c>
      <c r="G537" s="70">
        <v>-14.11</v>
      </c>
      <c r="H537" s="70">
        <v>-23.55</v>
      </c>
      <c r="I537" s="70">
        <v>-0.51</v>
      </c>
      <c r="J537" s="70">
        <v>-19.63</v>
      </c>
      <c r="K537" s="70">
        <v>-7.53</v>
      </c>
      <c r="L537" s="64">
        <f t="shared" si="8"/>
        <v>533.48</v>
      </c>
    </row>
    <row r="538" spans="1:12" x14ac:dyDescent="0.25">
      <c r="A538" s="65">
        <v>1904</v>
      </c>
      <c r="B538" s="65" t="s">
        <v>229</v>
      </c>
      <c r="C538" s="65" t="s">
        <v>433</v>
      </c>
      <c r="D538" s="65">
        <v>4</v>
      </c>
      <c r="E538" s="65"/>
      <c r="F538" s="70">
        <v>-839.9</v>
      </c>
      <c r="G538" s="70">
        <v>-11.23</v>
      </c>
      <c r="H538" s="70">
        <v>-23.65</v>
      </c>
      <c r="I538" s="70">
        <v>-0.21</v>
      </c>
      <c r="J538" s="70">
        <v>-42.95</v>
      </c>
      <c r="K538" s="70">
        <v>6.26</v>
      </c>
      <c r="L538" s="64">
        <f t="shared" si="8"/>
        <v>839.9</v>
      </c>
    </row>
    <row r="539" spans="1:12" x14ac:dyDescent="0.25">
      <c r="A539" s="65">
        <v>1974</v>
      </c>
      <c r="B539" s="65" t="s">
        <v>229</v>
      </c>
      <c r="C539" s="65" t="s">
        <v>500</v>
      </c>
      <c r="D539" s="65">
        <v>0</v>
      </c>
      <c r="E539" s="65"/>
      <c r="F539" s="70">
        <v>-791.97</v>
      </c>
      <c r="G539" s="70">
        <v>-12.8</v>
      </c>
      <c r="H539" s="70">
        <v>-23.81</v>
      </c>
      <c r="I539" s="70">
        <v>-0.31</v>
      </c>
      <c r="J539" s="70">
        <v>-42.63</v>
      </c>
      <c r="K539" s="70">
        <v>-5.6</v>
      </c>
      <c r="L539" s="64">
        <f t="shared" si="8"/>
        <v>791.97</v>
      </c>
    </row>
    <row r="540" spans="1:12" x14ac:dyDescent="0.25">
      <c r="A540" s="65">
        <v>2318</v>
      </c>
      <c r="B540" s="65" t="s">
        <v>229</v>
      </c>
      <c r="C540" s="65" t="s">
        <v>829</v>
      </c>
      <c r="D540" s="65">
        <v>4</v>
      </c>
      <c r="E540" s="65"/>
      <c r="F540" s="70">
        <v>-840.42</v>
      </c>
      <c r="G540" s="70">
        <v>-11.36</v>
      </c>
      <c r="H540" s="70">
        <v>-23.92</v>
      </c>
      <c r="I540" s="70">
        <v>-0.22</v>
      </c>
      <c r="J540" s="70">
        <v>-42.64</v>
      </c>
      <c r="K540" s="70">
        <v>6.34</v>
      </c>
      <c r="L540" s="64">
        <f t="shared" si="8"/>
        <v>840.42</v>
      </c>
    </row>
    <row r="541" spans="1:12" x14ac:dyDescent="0.25">
      <c r="A541" s="65">
        <v>2269</v>
      </c>
      <c r="B541" s="65" t="s">
        <v>229</v>
      </c>
      <c r="C541" s="65" t="s">
        <v>802</v>
      </c>
      <c r="D541" s="65">
        <v>0</v>
      </c>
      <c r="E541" s="65"/>
      <c r="F541" s="70">
        <v>-336.01</v>
      </c>
      <c r="G541" s="70">
        <v>-12.96</v>
      </c>
      <c r="H541" s="70">
        <v>-23.96</v>
      </c>
      <c r="I541" s="70">
        <v>-0.6</v>
      </c>
      <c r="J541" s="70">
        <v>-22.25</v>
      </c>
      <c r="K541" s="70">
        <v>-6.89</v>
      </c>
      <c r="L541" s="64">
        <f t="shared" si="8"/>
        <v>336.01</v>
      </c>
    </row>
    <row r="542" spans="1:12" x14ac:dyDescent="0.25">
      <c r="A542" s="65">
        <v>2256</v>
      </c>
      <c r="B542" s="65" t="s">
        <v>229</v>
      </c>
      <c r="C542" s="65" t="s">
        <v>777</v>
      </c>
      <c r="D542" s="65">
        <v>4</v>
      </c>
      <c r="E542" s="65"/>
      <c r="F542" s="70">
        <v>-221.24</v>
      </c>
      <c r="G542" s="70">
        <v>-12.06</v>
      </c>
      <c r="H542" s="70">
        <v>-23.97</v>
      </c>
      <c r="I542" s="70">
        <v>-0.63</v>
      </c>
      <c r="J542" s="70">
        <v>-18.25</v>
      </c>
      <c r="K542" s="70">
        <v>6.4</v>
      </c>
      <c r="L542" s="64">
        <f t="shared" si="8"/>
        <v>221.24</v>
      </c>
    </row>
    <row r="543" spans="1:12" x14ac:dyDescent="0.25">
      <c r="A543" s="65">
        <v>2250</v>
      </c>
      <c r="B543" s="65" t="s">
        <v>229</v>
      </c>
      <c r="C543" s="65" t="s">
        <v>764</v>
      </c>
      <c r="D543" s="65">
        <v>0</v>
      </c>
      <c r="E543" s="65"/>
      <c r="F543" s="70">
        <v>-792.4</v>
      </c>
      <c r="G543" s="70">
        <v>-12.93</v>
      </c>
      <c r="H543" s="70">
        <v>-24.02</v>
      </c>
      <c r="I543" s="70">
        <v>-0.31</v>
      </c>
      <c r="J543" s="70">
        <v>-43.07</v>
      </c>
      <c r="K543" s="70">
        <v>-5.65</v>
      </c>
      <c r="L543" s="64">
        <f t="shared" si="8"/>
        <v>792.4</v>
      </c>
    </row>
    <row r="544" spans="1:12" x14ac:dyDescent="0.25">
      <c r="A544" s="65">
        <v>1906</v>
      </c>
      <c r="B544" s="65" t="s">
        <v>229</v>
      </c>
      <c r="C544" s="65" t="s">
        <v>437</v>
      </c>
      <c r="D544" s="65">
        <v>4</v>
      </c>
      <c r="E544" s="65"/>
      <c r="F544" s="70">
        <v>-718.19</v>
      </c>
      <c r="G544" s="70">
        <v>-13.78</v>
      </c>
      <c r="H544" s="70">
        <v>-24.12</v>
      </c>
      <c r="I544" s="70">
        <v>-0.41</v>
      </c>
      <c r="J544" s="70">
        <v>-34.47</v>
      </c>
      <c r="K544" s="70">
        <v>7.48</v>
      </c>
      <c r="L544" s="64">
        <f t="shared" si="8"/>
        <v>718.19</v>
      </c>
    </row>
    <row r="545" spans="1:12" x14ac:dyDescent="0.25">
      <c r="A545" s="65">
        <v>2049</v>
      </c>
      <c r="B545" s="65" t="s">
        <v>229</v>
      </c>
      <c r="C545" s="65" t="s">
        <v>578</v>
      </c>
      <c r="D545" s="65">
        <v>0</v>
      </c>
      <c r="E545" s="65"/>
      <c r="F545" s="70">
        <v>-217.26</v>
      </c>
      <c r="G545" s="70">
        <v>-12.04</v>
      </c>
      <c r="H545" s="70">
        <v>-24.33</v>
      </c>
      <c r="I545" s="70">
        <v>-0.63</v>
      </c>
      <c r="J545" s="70">
        <v>-19.3</v>
      </c>
      <c r="K545" s="70">
        <v>-5.53</v>
      </c>
      <c r="L545" s="64">
        <f t="shared" si="8"/>
        <v>217.26</v>
      </c>
    </row>
    <row r="546" spans="1:12" x14ac:dyDescent="0.25">
      <c r="A546" s="65">
        <v>1975</v>
      </c>
      <c r="B546" s="65" t="s">
        <v>229</v>
      </c>
      <c r="C546" s="65" t="s">
        <v>502</v>
      </c>
      <c r="D546" s="65">
        <v>0</v>
      </c>
      <c r="E546" s="65"/>
      <c r="F546" s="70">
        <v>-716.25</v>
      </c>
      <c r="G546" s="70">
        <v>-13.81</v>
      </c>
      <c r="H546" s="70">
        <v>-24.68</v>
      </c>
      <c r="I546" s="70">
        <v>-0.41</v>
      </c>
      <c r="J546" s="70">
        <v>-36.42</v>
      </c>
      <c r="K546" s="70">
        <v>-6.14</v>
      </c>
      <c r="L546" s="64">
        <f t="shared" si="8"/>
        <v>716.25</v>
      </c>
    </row>
    <row r="547" spans="1:12" x14ac:dyDescent="0.25">
      <c r="A547" s="65">
        <v>2187</v>
      </c>
      <c r="B547" s="65" t="s">
        <v>229</v>
      </c>
      <c r="C547" s="65" t="s">
        <v>710</v>
      </c>
      <c r="D547" s="65">
        <v>0</v>
      </c>
      <c r="E547" s="65"/>
      <c r="F547" s="70">
        <v>-218.61</v>
      </c>
      <c r="G547" s="70">
        <v>-12.05</v>
      </c>
      <c r="H547" s="70">
        <v>-24.77</v>
      </c>
      <c r="I547" s="70">
        <v>-0.63</v>
      </c>
      <c r="J547" s="70">
        <v>-19.61</v>
      </c>
      <c r="K547" s="70">
        <v>-5.53</v>
      </c>
      <c r="L547" s="64">
        <f t="shared" si="8"/>
        <v>218.61</v>
      </c>
    </row>
    <row r="548" spans="1:12" x14ac:dyDescent="0.25">
      <c r="A548" s="65">
        <v>2320</v>
      </c>
      <c r="B548" s="65" t="s">
        <v>229</v>
      </c>
      <c r="C548" s="65" t="s">
        <v>833</v>
      </c>
      <c r="D548" s="65">
        <v>4</v>
      </c>
      <c r="E548" s="65"/>
      <c r="F548" s="70">
        <v>-718.97</v>
      </c>
      <c r="G548" s="70">
        <v>-13.96</v>
      </c>
      <c r="H548" s="70">
        <v>-24.87</v>
      </c>
      <c r="I548" s="70">
        <v>-0.41</v>
      </c>
      <c r="J548" s="70">
        <v>-33.78</v>
      </c>
      <c r="K548" s="70">
        <v>7.58</v>
      </c>
      <c r="L548" s="64">
        <f t="shared" si="8"/>
        <v>718.97</v>
      </c>
    </row>
    <row r="549" spans="1:12" x14ac:dyDescent="0.25">
      <c r="A549" s="65">
        <v>2055</v>
      </c>
      <c r="B549" s="65" t="s">
        <v>229</v>
      </c>
      <c r="C549" s="65" t="s">
        <v>590</v>
      </c>
      <c r="D549" s="65">
        <v>0</v>
      </c>
      <c r="E549" s="65"/>
      <c r="F549" s="70">
        <v>535.14</v>
      </c>
      <c r="G549" s="70">
        <v>-7.52</v>
      </c>
      <c r="H549" s="70">
        <v>-24.89</v>
      </c>
      <c r="I549" s="70">
        <v>-0.74</v>
      </c>
      <c r="J549" s="70">
        <v>62.79</v>
      </c>
      <c r="K549" s="70">
        <v>-3.75</v>
      </c>
      <c r="L549" s="64">
        <f t="shared" si="8"/>
        <v>-535.14</v>
      </c>
    </row>
    <row r="550" spans="1:12" x14ac:dyDescent="0.25">
      <c r="A550" s="65">
        <v>1973</v>
      </c>
      <c r="B550" s="65" t="s">
        <v>229</v>
      </c>
      <c r="C550" s="65" t="s">
        <v>498</v>
      </c>
      <c r="D550" s="65">
        <v>0</v>
      </c>
      <c r="E550" s="65"/>
      <c r="F550" s="70">
        <v>-839.07</v>
      </c>
      <c r="G550" s="70">
        <v>-11.25</v>
      </c>
      <c r="H550" s="70">
        <v>-24.9</v>
      </c>
      <c r="I550" s="70">
        <v>-0.21</v>
      </c>
      <c r="J550" s="70">
        <v>-55.51</v>
      </c>
      <c r="K550" s="70">
        <v>-4.9400000000000004</v>
      </c>
      <c r="L550" s="64">
        <f t="shared" si="8"/>
        <v>839.07</v>
      </c>
    </row>
    <row r="551" spans="1:12" x14ac:dyDescent="0.25">
      <c r="A551" s="65">
        <v>2249</v>
      </c>
      <c r="B551" s="65" t="s">
        <v>229</v>
      </c>
      <c r="C551" s="65" t="s">
        <v>762</v>
      </c>
      <c r="D551" s="65">
        <v>0</v>
      </c>
      <c r="E551" s="65"/>
      <c r="F551" s="70">
        <v>-839.27</v>
      </c>
      <c r="G551" s="70">
        <v>-11.35</v>
      </c>
      <c r="H551" s="70">
        <v>-25.12</v>
      </c>
      <c r="I551" s="70">
        <v>-0.22</v>
      </c>
      <c r="J551" s="70">
        <v>-55.89</v>
      </c>
      <c r="K551" s="70">
        <v>-4.9800000000000004</v>
      </c>
      <c r="L551" s="64">
        <f t="shared" si="8"/>
        <v>839.27</v>
      </c>
    </row>
    <row r="552" spans="1:12" x14ac:dyDescent="0.25">
      <c r="A552" s="65">
        <v>2123</v>
      </c>
      <c r="B552" s="65" t="s">
        <v>229</v>
      </c>
      <c r="C552" s="65" t="s">
        <v>654</v>
      </c>
      <c r="D552" s="65">
        <v>0</v>
      </c>
      <c r="E552" s="65"/>
      <c r="F552" s="70">
        <v>509.4</v>
      </c>
      <c r="G552" s="70">
        <v>-7.79</v>
      </c>
      <c r="H552" s="70">
        <v>-25.15</v>
      </c>
      <c r="I552" s="70">
        <v>-0.74</v>
      </c>
      <c r="J552" s="70">
        <v>54.97</v>
      </c>
      <c r="K552" s="70">
        <v>-3.75</v>
      </c>
      <c r="L552" s="64">
        <f t="shared" si="8"/>
        <v>-509.4</v>
      </c>
    </row>
    <row r="553" spans="1:12" x14ac:dyDescent="0.25">
      <c r="A553" s="65">
        <v>2051</v>
      </c>
      <c r="B553" s="65" t="s">
        <v>229</v>
      </c>
      <c r="C553" s="65" t="s">
        <v>583</v>
      </c>
      <c r="D553" s="65">
        <v>4</v>
      </c>
      <c r="E553" s="65"/>
      <c r="F553" s="70">
        <v>224.8</v>
      </c>
      <c r="G553" s="70">
        <v>-9.89</v>
      </c>
      <c r="H553" s="70">
        <v>-25.18</v>
      </c>
      <c r="I553" s="70">
        <v>-0.69</v>
      </c>
      <c r="J553" s="70">
        <v>31.99</v>
      </c>
      <c r="K553" s="70">
        <v>5.2</v>
      </c>
      <c r="L553" s="64">
        <f t="shared" si="8"/>
        <v>-224.8</v>
      </c>
    </row>
    <row r="554" spans="1:12" x14ac:dyDescent="0.25">
      <c r="A554" s="65">
        <v>2193</v>
      </c>
      <c r="B554" s="65" t="s">
        <v>229</v>
      </c>
      <c r="C554" s="65" t="s">
        <v>722</v>
      </c>
      <c r="D554" s="65">
        <v>0</v>
      </c>
      <c r="E554" s="65"/>
      <c r="F554" s="70">
        <v>535.14</v>
      </c>
      <c r="G554" s="70">
        <v>-7.52</v>
      </c>
      <c r="H554" s="70">
        <v>-25.18</v>
      </c>
      <c r="I554" s="70">
        <v>-0.74</v>
      </c>
      <c r="J554" s="70">
        <v>62.68</v>
      </c>
      <c r="K554" s="70">
        <v>-3.75</v>
      </c>
      <c r="L554" s="64">
        <f t="shared" si="8"/>
        <v>-535.14</v>
      </c>
    </row>
    <row r="555" spans="1:12" x14ac:dyDescent="0.25">
      <c r="A555" s="65">
        <v>1994</v>
      </c>
      <c r="B555" s="65" t="s">
        <v>229</v>
      </c>
      <c r="C555" s="65" t="s">
        <v>540</v>
      </c>
      <c r="D555" s="65">
        <v>0</v>
      </c>
      <c r="E555" s="65"/>
      <c r="F555" s="70">
        <v>-441.48</v>
      </c>
      <c r="G555" s="70">
        <v>-13.71</v>
      </c>
      <c r="H555" s="70">
        <v>-25.25</v>
      </c>
      <c r="I555" s="70">
        <v>-0.55000000000000004</v>
      </c>
      <c r="J555" s="70">
        <v>-22.12</v>
      </c>
      <c r="K555" s="70">
        <v>-7.3</v>
      </c>
      <c r="L555" s="64">
        <f t="shared" si="8"/>
        <v>441.48</v>
      </c>
    </row>
    <row r="556" spans="1:12" x14ac:dyDescent="0.25">
      <c r="A556" s="65">
        <v>2251</v>
      </c>
      <c r="B556" s="65" t="s">
        <v>229</v>
      </c>
      <c r="C556" s="65" t="s">
        <v>766</v>
      </c>
      <c r="D556" s="65">
        <v>0</v>
      </c>
      <c r="E556" s="65"/>
      <c r="F556" s="70">
        <v>-716.83</v>
      </c>
      <c r="G556" s="70">
        <v>-13.94</v>
      </c>
      <c r="H556" s="70">
        <v>-25.3</v>
      </c>
      <c r="I556" s="70">
        <v>-0.41</v>
      </c>
      <c r="J556" s="70">
        <v>-37.08</v>
      </c>
      <c r="K556" s="70">
        <v>-6.2</v>
      </c>
      <c r="L556" s="64">
        <f t="shared" si="8"/>
        <v>716.83</v>
      </c>
    </row>
    <row r="557" spans="1:12" x14ac:dyDescent="0.25">
      <c r="A557" s="65">
        <v>24</v>
      </c>
      <c r="B557" s="65" t="s">
        <v>229</v>
      </c>
      <c r="C557" s="65" t="s">
        <v>238</v>
      </c>
      <c r="D557" s="65">
        <v>0</v>
      </c>
      <c r="E557" s="65"/>
      <c r="F557" s="70">
        <v>-371.92</v>
      </c>
      <c r="G557" s="70">
        <v>-1.84</v>
      </c>
      <c r="H557" s="70">
        <v>-25.36</v>
      </c>
      <c r="I557" s="70">
        <v>-0.12</v>
      </c>
      <c r="J557" s="70">
        <v>-23.52</v>
      </c>
      <c r="K557" s="70">
        <v>-0.82</v>
      </c>
      <c r="L557" s="64">
        <f t="shared" si="8"/>
        <v>371.92</v>
      </c>
    </row>
    <row r="558" spans="1:12" x14ac:dyDescent="0.25">
      <c r="A558" s="65">
        <v>2189</v>
      </c>
      <c r="B558" s="65" t="s">
        <v>229</v>
      </c>
      <c r="C558" s="65" t="s">
        <v>715</v>
      </c>
      <c r="D558" s="65">
        <v>4</v>
      </c>
      <c r="E558" s="65"/>
      <c r="F558" s="70">
        <v>224.48</v>
      </c>
      <c r="G558" s="70">
        <v>-9.89</v>
      </c>
      <c r="H558" s="70">
        <v>-25.63</v>
      </c>
      <c r="I558" s="70">
        <v>-0.69</v>
      </c>
      <c r="J558" s="70">
        <v>31.99</v>
      </c>
      <c r="K558" s="70">
        <v>5.2</v>
      </c>
      <c r="L558" s="64">
        <f t="shared" si="8"/>
        <v>-224.48</v>
      </c>
    </row>
    <row r="559" spans="1:12" x14ac:dyDescent="0.25">
      <c r="A559" s="65">
        <v>2053</v>
      </c>
      <c r="B559" s="65" t="s">
        <v>229</v>
      </c>
      <c r="C559" s="65" t="s">
        <v>587</v>
      </c>
      <c r="D559" s="65">
        <v>4</v>
      </c>
      <c r="E559" s="65"/>
      <c r="F559" s="70">
        <v>444.88</v>
      </c>
      <c r="G559" s="70">
        <v>-8.35</v>
      </c>
      <c r="H559" s="70">
        <v>-26.06</v>
      </c>
      <c r="I559" s="70">
        <v>-0.72</v>
      </c>
      <c r="J559" s="70">
        <v>57.07</v>
      </c>
      <c r="K559" s="70">
        <v>4.3</v>
      </c>
      <c r="L559" s="64">
        <f t="shared" si="8"/>
        <v>-444.88</v>
      </c>
    </row>
    <row r="560" spans="1:12" x14ac:dyDescent="0.25">
      <c r="A560" s="65">
        <v>2527</v>
      </c>
      <c r="B560" s="65" t="s">
        <v>229</v>
      </c>
      <c r="C560" s="65" t="s">
        <v>1030</v>
      </c>
      <c r="D560" s="65">
        <v>0</v>
      </c>
      <c r="E560" s="65"/>
      <c r="F560" s="70">
        <v>-372.77</v>
      </c>
      <c r="G560" s="70">
        <v>-1.87</v>
      </c>
      <c r="H560" s="70">
        <v>-26.11</v>
      </c>
      <c r="I560" s="70">
        <v>-0.13</v>
      </c>
      <c r="J560" s="70">
        <v>-24.15</v>
      </c>
      <c r="K560" s="70">
        <v>-0.83</v>
      </c>
      <c r="L560" s="64">
        <f t="shared" si="8"/>
        <v>372.77</v>
      </c>
    </row>
    <row r="561" spans="1:12" x14ac:dyDescent="0.25">
      <c r="A561" s="65">
        <v>2270</v>
      </c>
      <c r="B561" s="65" t="s">
        <v>229</v>
      </c>
      <c r="C561" s="65" t="s">
        <v>804</v>
      </c>
      <c r="D561" s="65">
        <v>0</v>
      </c>
      <c r="E561" s="65"/>
      <c r="F561" s="70">
        <v>-439.62</v>
      </c>
      <c r="G561" s="70">
        <v>-13.65</v>
      </c>
      <c r="H561" s="70">
        <v>-26.13</v>
      </c>
      <c r="I561" s="70">
        <v>-0.55000000000000004</v>
      </c>
      <c r="J561" s="70">
        <v>-22.72</v>
      </c>
      <c r="K561" s="70">
        <v>-7.27</v>
      </c>
      <c r="L561" s="64">
        <f t="shared" si="8"/>
        <v>439.62</v>
      </c>
    </row>
    <row r="562" spans="1:12" x14ac:dyDescent="0.25">
      <c r="A562" s="65">
        <v>1976</v>
      </c>
      <c r="B562" s="65" t="s">
        <v>229</v>
      </c>
      <c r="C562" s="65" t="s">
        <v>505</v>
      </c>
      <c r="D562" s="65">
        <v>4</v>
      </c>
      <c r="E562" s="65"/>
      <c r="F562" s="70">
        <v>-620.4</v>
      </c>
      <c r="G562" s="70">
        <v>-14.22</v>
      </c>
      <c r="H562" s="70">
        <v>-26.15</v>
      </c>
      <c r="I562" s="70">
        <v>-0.48</v>
      </c>
      <c r="J562" s="70">
        <v>-17.59</v>
      </c>
      <c r="K562" s="70">
        <v>7.63</v>
      </c>
      <c r="L562" s="64">
        <f t="shared" si="8"/>
        <v>620.4</v>
      </c>
    </row>
    <row r="563" spans="1:12" x14ac:dyDescent="0.25">
      <c r="A563" s="65">
        <v>26</v>
      </c>
      <c r="B563" s="65" t="s">
        <v>229</v>
      </c>
      <c r="C563" s="65" t="s">
        <v>242</v>
      </c>
      <c r="D563" s="65">
        <v>0</v>
      </c>
      <c r="E563" s="65"/>
      <c r="F563" s="70">
        <v>-279.19</v>
      </c>
      <c r="G563" s="70">
        <v>-1.88</v>
      </c>
      <c r="H563" s="70">
        <v>-26.39</v>
      </c>
      <c r="I563" s="70">
        <v>-0.16</v>
      </c>
      <c r="J563" s="70">
        <v>-16.489999999999998</v>
      </c>
      <c r="K563" s="70">
        <v>-0.86</v>
      </c>
      <c r="L563" s="64">
        <f t="shared" si="8"/>
        <v>279.19</v>
      </c>
    </row>
    <row r="564" spans="1:12" x14ac:dyDescent="0.25">
      <c r="A564" s="65">
        <v>2191</v>
      </c>
      <c r="B564" s="65" t="s">
        <v>229</v>
      </c>
      <c r="C564" s="65" t="s">
        <v>719</v>
      </c>
      <c r="D564" s="65">
        <v>4</v>
      </c>
      <c r="E564" s="65"/>
      <c r="F564" s="70">
        <v>444.87</v>
      </c>
      <c r="G564" s="70">
        <v>-8.34</v>
      </c>
      <c r="H564" s="70">
        <v>-26.42</v>
      </c>
      <c r="I564" s="70">
        <v>-0.72</v>
      </c>
      <c r="J564" s="70">
        <v>57.15</v>
      </c>
      <c r="K564" s="70">
        <v>4.3</v>
      </c>
      <c r="L564" s="64">
        <f t="shared" si="8"/>
        <v>-444.87</v>
      </c>
    </row>
    <row r="565" spans="1:12" x14ac:dyDescent="0.25">
      <c r="A565" s="65">
        <v>2052</v>
      </c>
      <c r="B565" s="65" t="s">
        <v>229</v>
      </c>
      <c r="C565" s="65" t="s">
        <v>585</v>
      </c>
      <c r="D565" s="65">
        <v>4</v>
      </c>
      <c r="E565" s="65"/>
      <c r="F565" s="70">
        <v>345.35</v>
      </c>
      <c r="G565" s="70">
        <v>-8.99</v>
      </c>
      <c r="H565" s="70">
        <v>-26.55</v>
      </c>
      <c r="I565" s="70">
        <v>-0.72</v>
      </c>
      <c r="J565" s="70">
        <v>45.62</v>
      </c>
      <c r="K565" s="70">
        <v>4.6900000000000004</v>
      </c>
      <c r="L565" s="64">
        <f t="shared" si="8"/>
        <v>-345.35</v>
      </c>
    </row>
    <row r="566" spans="1:12" x14ac:dyDescent="0.25">
      <c r="A566" s="65">
        <v>2045</v>
      </c>
      <c r="B566" s="65" t="s">
        <v>229</v>
      </c>
      <c r="C566" s="65" t="s">
        <v>570</v>
      </c>
      <c r="D566" s="65">
        <v>0</v>
      </c>
      <c r="E566" s="65"/>
      <c r="F566" s="70">
        <v>-618.21</v>
      </c>
      <c r="G566" s="70">
        <v>-14.25</v>
      </c>
      <c r="H566" s="70">
        <v>-26.86</v>
      </c>
      <c r="I566" s="70">
        <v>-0.48</v>
      </c>
      <c r="J566" s="70">
        <v>-29.82</v>
      </c>
      <c r="K566" s="70">
        <v>-6.45</v>
      </c>
      <c r="L566" s="64">
        <f t="shared" si="8"/>
        <v>618.21</v>
      </c>
    </row>
    <row r="567" spans="1:12" x14ac:dyDescent="0.25">
      <c r="A567" s="65">
        <v>2190</v>
      </c>
      <c r="B567" s="65" t="s">
        <v>229</v>
      </c>
      <c r="C567" s="65" t="s">
        <v>717</v>
      </c>
      <c r="D567" s="65">
        <v>4</v>
      </c>
      <c r="E567" s="65"/>
      <c r="F567" s="70">
        <v>345.33</v>
      </c>
      <c r="G567" s="70">
        <v>-8.98</v>
      </c>
      <c r="H567" s="70">
        <v>-26.92</v>
      </c>
      <c r="I567" s="70">
        <v>-0.72</v>
      </c>
      <c r="J567" s="70">
        <v>45.63</v>
      </c>
      <c r="K567" s="70">
        <v>4.6900000000000004</v>
      </c>
      <c r="L567" s="64">
        <f t="shared" si="8"/>
        <v>-345.33</v>
      </c>
    </row>
    <row r="568" spans="1:12" x14ac:dyDescent="0.25">
      <c r="A568" s="65">
        <v>44</v>
      </c>
      <c r="B568" s="65" t="s">
        <v>229</v>
      </c>
      <c r="C568" s="65" t="s">
        <v>278</v>
      </c>
      <c r="D568" s="65">
        <v>0</v>
      </c>
      <c r="E568" s="65"/>
      <c r="F568" s="70">
        <v>-278.91000000000003</v>
      </c>
      <c r="G568" s="70">
        <v>-1.9</v>
      </c>
      <c r="H568" s="70">
        <v>-27.09</v>
      </c>
      <c r="I568" s="70">
        <v>-0.16</v>
      </c>
      <c r="J568" s="70">
        <v>-17.16</v>
      </c>
      <c r="K568" s="70">
        <v>-1.01</v>
      </c>
      <c r="L568" s="64">
        <f t="shared" si="8"/>
        <v>278.91000000000003</v>
      </c>
    </row>
    <row r="569" spans="1:12" x14ac:dyDescent="0.25">
      <c r="A569" s="65">
        <v>1835</v>
      </c>
      <c r="B569" s="65" t="s">
        <v>229</v>
      </c>
      <c r="C569" s="65" t="s">
        <v>367</v>
      </c>
      <c r="D569" s="65">
        <v>4</v>
      </c>
      <c r="E569" s="65"/>
      <c r="F569" s="70">
        <v>-848.68</v>
      </c>
      <c r="G569" s="70">
        <v>-11.22</v>
      </c>
      <c r="H569" s="70">
        <v>-27.25</v>
      </c>
      <c r="I569" s="70">
        <v>-0.21</v>
      </c>
      <c r="J569" s="70">
        <v>-44.31</v>
      </c>
      <c r="K569" s="70">
        <v>6.26</v>
      </c>
      <c r="L569" s="64">
        <f t="shared" si="8"/>
        <v>848.68</v>
      </c>
    </row>
    <row r="570" spans="1:12" x14ac:dyDescent="0.25">
      <c r="A570" s="65">
        <v>1979</v>
      </c>
      <c r="B570" s="65" t="s">
        <v>229</v>
      </c>
      <c r="C570" s="65" t="s">
        <v>510</v>
      </c>
      <c r="D570" s="65">
        <v>0</v>
      </c>
      <c r="E570" s="65"/>
      <c r="F570" s="70">
        <v>-339.14</v>
      </c>
      <c r="G570" s="70">
        <v>-12.97</v>
      </c>
      <c r="H570" s="70">
        <v>-27.26</v>
      </c>
      <c r="I570" s="70">
        <v>-0.59</v>
      </c>
      <c r="J570" s="70">
        <v>-22.85</v>
      </c>
      <c r="K570" s="70">
        <v>-5.93</v>
      </c>
      <c r="L570" s="64">
        <f t="shared" si="8"/>
        <v>339.14</v>
      </c>
    </row>
    <row r="571" spans="1:12" x14ac:dyDescent="0.25">
      <c r="A571" s="65">
        <v>2252</v>
      </c>
      <c r="B571" s="65" t="s">
        <v>229</v>
      </c>
      <c r="C571" s="65" t="s">
        <v>769</v>
      </c>
      <c r="D571" s="65">
        <v>4</v>
      </c>
      <c r="E571" s="65"/>
      <c r="F571" s="70">
        <v>-621.41999999999996</v>
      </c>
      <c r="G571" s="70">
        <v>-14.31</v>
      </c>
      <c r="H571" s="70">
        <v>-27.35</v>
      </c>
      <c r="I571" s="70">
        <v>-0.48</v>
      </c>
      <c r="J571" s="70">
        <v>-17.05</v>
      </c>
      <c r="K571" s="70">
        <v>7.67</v>
      </c>
      <c r="L571" s="64">
        <f t="shared" si="8"/>
        <v>621.41999999999996</v>
      </c>
    </row>
    <row r="572" spans="1:12" x14ac:dyDescent="0.25">
      <c r="A572" s="65">
        <v>2183</v>
      </c>
      <c r="B572" s="65" t="s">
        <v>229</v>
      </c>
      <c r="C572" s="65" t="s">
        <v>702</v>
      </c>
      <c r="D572" s="65">
        <v>0</v>
      </c>
      <c r="E572" s="65"/>
      <c r="F572" s="70">
        <v>-618.88</v>
      </c>
      <c r="G572" s="70">
        <v>-14.29</v>
      </c>
      <c r="H572" s="70">
        <v>-27.54</v>
      </c>
      <c r="I572" s="70">
        <v>-0.48</v>
      </c>
      <c r="J572" s="70">
        <v>-30.24</v>
      </c>
      <c r="K572" s="70">
        <v>-6.47</v>
      </c>
      <c r="L572" s="64">
        <f t="shared" si="8"/>
        <v>618.88</v>
      </c>
    </row>
    <row r="573" spans="1:12" x14ac:dyDescent="0.25">
      <c r="A573" s="65">
        <v>2387</v>
      </c>
      <c r="B573" s="65" t="s">
        <v>229</v>
      </c>
      <c r="C573" s="65" t="s">
        <v>895</v>
      </c>
      <c r="D573" s="65">
        <v>4</v>
      </c>
      <c r="E573" s="65"/>
      <c r="F573" s="70">
        <v>-849.49</v>
      </c>
      <c r="G573" s="70">
        <v>-11.37</v>
      </c>
      <c r="H573" s="70">
        <v>-27.57</v>
      </c>
      <c r="I573" s="70">
        <v>-0.22</v>
      </c>
      <c r="J573" s="70">
        <v>-44.07</v>
      </c>
      <c r="K573" s="70">
        <v>6.34</v>
      </c>
      <c r="L573" s="64">
        <f t="shared" si="8"/>
        <v>849.49</v>
      </c>
    </row>
    <row r="574" spans="1:12" x14ac:dyDescent="0.25">
      <c r="A574" s="65">
        <v>2529</v>
      </c>
      <c r="B574" s="65" t="s">
        <v>229</v>
      </c>
      <c r="C574" s="65" t="s">
        <v>1034</v>
      </c>
      <c r="D574" s="65">
        <v>0</v>
      </c>
      <c r="E574" s="65"/>
      <c r="F574" s="70">
        <v>-280.88</v>
      </c>
      <c r="G574" s="70">
        <v>-1.9</v>
      </c>
      <c r="H574" s="70">
        <v>-27.78</v>
      </c>
      <c r="I574" s="70">
        <v>-0.16</v>
      </c>
      <c r="J574" s="70">
        <v>-17.25</v>
      </c>
      <c r="K574" s="70">
        <v>-0.87</v>
      </c>
      <c r="L574" s="64">
        <f t="shared" si="8"/>
        <v>280.88</v>
      </c>
    </row>
    <row r="575" spans="1:12" x14ac:dyDescent="0.25">
      <c r="A575" s="65">
        <v>2120</v>
      </c>
      <c r="B575" s="65" t="s">
        <v>229</v>
      </c>
      <c r="C575" s="65" t="s">
        <v>648</v>
      </c>
      <c r="D575" s="65">
        <v>0</v>
      </c>
      <c r="E575" s="65"/>
      <c r="F575" s="70">
        <v>222.84</v>
      </c>
      <c r="G575" s="70">
        <v>-9.89</v>
      </c>
      <c r="H575" s="70">
        <v>-27.79</v>
      </c>
      <c r="I575" s="70">
        <v>-0.69</v>
      </c>
      <c r="J575" s="70">
        <v>17.7</v>
      </c>
      <c r="K575" s="70">
        <v>-4.58</v>
      </c>
      <c r="L575" s="64">
        <f t="shared" si="8"/>
        <v>-222.84</v>
      </c>
    </row>
    <row r="576" spans="1:12" x14ac:dyDescent="0.25">
      <c r="A576" s="65">
        <v>1836</v>
      </c>
      <c r="B576" s="65" t="s">
        <v>229</v>
      </c>
      <c r="C576" s="65" t="s">
        <v>369</v>
      </c>
      <c r="D576" s="65">
        <v>4</v>
      </c>
      <c r="E576" s="65"/>
      <c r="F576" s="70">
        <v>-801.43</v>
      </c>
      <c r="G576" s="70">
        <v>-12.75</v>
      </c>
      <c r="H576" s="70">
        <v>-28.05</v>
      </c>
      <c r="I576" s="70">
        <v>-0.31</v>
      </c>
      <c r="J576" s="70">
        <v>-39.58</v>
      </c>
      <c r="K576" s="70">
        <v>7.03</v>
      </c>
      <c r="L576" s="64">
        <f t="shared" si="8"/>
        <v>801.43</v>
      </c>
    </row>
    <row r="577" spans="1:12" x14ac:dyDescent="0.25">
      <c r="A577" s="65">
        <v>27</v>
      </c>
      <c r="B577" s="65" t="s">
        <v>229</v>
      </c>
      <c r="C577" s="65" t="s">
        <v>244</v>
      </c>
      <c r="D577" s="65">
        <v>0</v>
      </c>
      <c r="E577" s="65"/>
      <c r="F577" s="70">
        <v>-231.26</v>
      </c>
      <c r="G577" s="70">
        <v>-1.82</v>
      </c>
      <c r="H577" s="70">
        <v>-28.11</v>
      </c>
      <c r="I577" s="70">
        <v>-0.17</v>
      </c>
      <c r="J577" s="70">
        <v>-18.11</v>
      </c>
      <c r="K577" s="70">
        <v>-0.83</v>
      </c>
      <c r="L577" s="64">
        <f t="shared" si="8"/>
        <v>231.26</v>
      </c>
    </row>
    <row r="578" spans="1:12" x14ac:dyDescent="0.25">
      <c r="A578" s="65">
        <v>2255</v>
      </c>
      <c r="B578" s="65" t="s">
        <v>229</v>
      </c>
      <c r="C578" s="65" t="s">
        <v>774</v>
      </c>
      <c r="D578" s="65">
        <v>0</v>
      </c>
      <c r="E578" s="65"/>
      <c r="F578" s="70">
        <v>-341.46</v>
      </c>
      <c r="G578" s="70">
        <v>-13</v>
      </c>
      <c r="H578" s="70">
        <v>-28.12</v>
      </c>
      <c r="I578" s="70">
        <v>-0.59</v>
      </c>
      <c r="J578" s="70">
        <v>-23.43</v>
      </c>
      <c r="K578" s="70">
        <v>-5.95</v>
      </c>
      <c r="L578" s="64">
        <f t="shared" si="8"/>
        <v>341.46</v>
      </c>
    </row>
    <row r="579" spans="1:12" x14ac:dyDescent="0.25">
      <c r="A579" s="65">
        <v>25</v>
      </c>
      <c r="B579" s="65" t="s">
        <v>229</v>
      </c>
      <c r="C579" s="65" t="s">
        <v>241</v>
      </c>
      <c r="D579" s="65">
        <v>4</v>
      </c>
      <c r="E579" s="65"/>
      <c r="F579" s="70">
        <v>-321.83999999999997</v>
      </c>
      <c r="G579" s="70">
        <v>-1.89</v>
      </c>
      <c r="H579" s="70">
        <v>-28.3</v>
      </c>
      <c r="I579" s="70">
        <v>-0.15</v>
      </c>
      <c r="J579" s="70">
        <v>-16.440000000000001</v>
      </c>
      <c r="K579" s="70">
        <v>1.02</v>
      </c>
      <c r="L579" s="64">
        <f t="shared" ref="L579:L642" si="9">F579*-1</f>
        <v>321.83999999999997</v>
      </c>
    </row>
    <row r="580" spans="1:12" x14ac:dyDescent="0.25">
      <c r="A580" s="65">
        <v>2547</v>
      </c>
      <c r="B580" s="65" t="s">
        <v>229</v>
      </c>
      <c r="C580" s="65" t="s">
        <v>1070</v>
      </c>
      <c r="D580" s="65">
        <v>0</v>
      </c>
      <c r="E580" s="65"/>
      <c r="F580" s="70">
        <v>-277.22000000000003</v>
      </c>
      <c r="G580" s="70">
        <v>-1.88</v>
      </c>
      <c r="H580" s="70">
        <v>-28.46</v>
      </c>
      <c r="I580" s="70">
        <v>-0.16</v>
      </c>
      <c r="J580" s="70">
        <v>-17.86</v>
      </c>
      <c r="K580" s="70">
        <v>-1</v>
      </c>
      <c r="L580" s="64">
        <f t="shared" si="9"/>
        <v>277.22000000000003</v>
      </c>
    </row>
    <row r="581" spans="1:12" x14ac:dyDescent="0.25">
      <c r="A581" s="65">
        <v>1904</v>
      </c>
      <c r="B581" s="65" t="s">
        <v>229</v>
      </c>
      <c r="C581" s="65" t="s">
        <v>432</v>
      </c>
      <c r="D581" s="65">
        <v>0</v>
      </c>
      <c r="E581" s="65"/>
      <c r="F581" s="70">
        <v>-847.74</v>
      </c>
      <c r="G581" s="70">
        <v>-11.23</v>
      </c>
      <c r="H581" s="70">
        <v>-28.49</v>
      </c>
      <c r="I581" s="70">
        <v>-0.21</v>
      </c>
      <c r="J581" s="70">
        <v>-56.92</v>
      </c>
      <c r="K581" s="70">
        <v>-4.93</v>
      </c>
      <c r="L581" s="64">
        <f t="shared" si="9"/>
        <v>847.74</v>
      </c>
    </row>
    <row r="582" spans="1:12" x14ac:dyDescent="0.25">
      <c r="A582" s="65">
        <v>2388</v>
      </c>
      <c r="B582" s="65" t="s">
        <v>229</v>
      </c>
      <c r="C582" s="65" t="s">
        <v>897</v>
      </c>
      <c r="D582" s="65">
        <v>4</v>
      </c>
      <c r="E582" s="65"/>
      <c r="F582" s="70">
        <v>-802.58</v>
      </c>
      <c r="G582" s="70">
        <v>-12.96</v>
      </c>
      <c r="H582" s="70">
        <v>-28.63</v>
      </c>
      <c r="I582" s="70">
        <v>-0.31</v>
      </c>
      <c r="J582" s="70">
        <v>-39.01</v>
      </c>
      <c r="K582" s="70">
        <v>7.14</v>
      </c>
      <c r="L582" s="64">
        <f t="shared" si="9"/>
        <v>802.58</v>
      </c>
    </row>
    <row r="583" spans="1:12" x14ac:dyDescent="0.25">
      <c r="A583" s="65">
        <v>2121</v>
      </c>
      <c r="B583" s="65" t="s">
        <v>229</v>
      </c>
      <c r="C583" s="65" t="s">
        <v>650</v>
      </c>
      <c r="D583" s="65">
        <v>0</v>
      </c>
      <c r="E583" s="65"/>
      <c r="F583" s="70">
        <v>344.22</v>
      </c>
      <c r="G583" s="70">
        <v>-8.99</v>
      </c>
      <c r="H583" s="70">
        <v>-28.64</v>
      </c>
      <c r="I583" s="70">
        <v>-0.72</v>
      </c>
      <c r="J583" s="70">
        <v>30.63</v>
      </c>
      <c r="K583" s="70">
        <v>-4.2</v>
      </c>
      <c r="L583" s="64">
        <f t="shared" si="9"/>
        <v>-344.22</v>
      </c>
    </row>
    <row r="584" spans="1:12" x14ac:dyDescent="0.25">
      <c r="A584" s="65">
        <v>2318</v>
      </c>
      <c r="B584" s="65" t="s">
        <v>229</v>
      </c>
      <c r="C584" s="65" t="s">
        <v>828</v>
      </c>
      <c r="D584" s="65">
        <v>0</v>
      </c>
      <c r="E584" s="65"/>
      <c r="F584" s="70">
        <v>-848.26</v>
      </c>
      <c r="G584" s="70">
        <v>-11.36</v>
      </c>
      <c r="H584" s="70">
        <v>-28.76</v>
      </c>
      <c r="I584" s="70">
        <v>-0.22</v>
      </c>
      <c r="J584" s="70">
        <v>-57.34</v>
      </c>
      <c r="K584" s="70">
        <v>-4.99</v>
      </c>
      <c r="L584" s="64">
        <f t="shared" si="9"/>
        <v>848.26</v>
      </c>
    </row>
    <row r="585" spans="1:12" x14ac:dyDescent="0.25">
      <c r="A585" s="65">
        <v>1981</v>
      </c>
      <c r="B585" s="65" t="s">
        <v>229</v>
      </c>
      <c r="C585" s="65" t="s">
        <v>515</v>
      </c>
      <c r="D585" s="65">
        <v>4</v>
      </c>
      <c r="E585" s="65"/>
      <c r="F585" s="70">
        <v>109.64</v>
      </c>
      <c r="G585" s="70">
        <v>-10.79</v>
      </c>
      <c r="H585" s="70">
        <v>-29.01</v>
      </c>
      <c r="I585" s="70">
        <v>-0.67</v>
      </c>
      <c r="J585" s="70">
        <v>22.69</v>
      </c>
      <c r="K585" s="70">
        <v>5.71</v>
      </c>
      <c r="L585" s="64">
        <f t="shared" si="9"/>
        <v>-109.64</v>
      </c>
    </row>
    <row r="586" spans="1:12" x14ac:dyDescent="0.25">
      <c r="A586" s="65">
        <v>1905</v>
      </c>
      <c r="B586" s="65" t="s">
        <v>229</v>
      </c>
      <c r="C586" s="65" t="s">
        <v>434</v>
      </c>
      <c r="D586" s="65">
        <v>0</v>
      </c>
      <c r="E586" s="65"/>
      <c r="F586" s="70">
        <v>-799.96</v>
      </c>
      <c r="G586" s="70">
        <v>-12.77</v>
      </c>
      <c r="H586" s="70">
        <v>-29.07</v>
      </c>
      <c r="I586" s="70">
        <v>-0.31</v>
      </c>
      <c r="J586" s="70">
        <v>-44.63</v>
      </c>
      <c r="K586" s="70">
        <v>-5.58</v>
      </c>
      <c r="L586" s="64">
        <f t="shared" si="9"/>
        <v>799.96</v>
      </c>
    </row>
    <row r="587" spans="1:12" x14ac:dyDescent="0.25">
      <c r="A587" s="65">
        <v>2122</v>
      </c>
      <c r="B587" s="65" t="s">
        <v>229</v>
      </c>
      <c r="C587" s="65" t="s">
        <v>652</v>
      </c>
      <c r="D587" s="65">
        <v>0</v>
      </c>
      <c r="E587" s="65"/>
      <c r="F587" s="70">
        <v>444.13</v>
      </c>
      <c r="G587" s="70">
        <v>-8.35</v>
      </c>
      <c r="H587" s="70">
        <v>-29.35</v>
      </c>
      <c r="I587" s="70">
        <v>-0.72</v>
      </c>
      <c r="J587" s="70">
        <v>43.96</v>
      </c>
      <c r="K587" s="70">
        <v>-3.96</v>
      </c>
      <c r="L587" s="64">
        <f t="shared" si="9"/>
        <v>-444.13</v>
      </c>
    </row>
    <row r="588" spans="1:12" x14ac:dyDescent="0.25">
      <c r="A588" s="65">
        <v>1908</v>
      </c>
      <c r="B588" s="65" t="s">
        <v>229</v>
      </c>
      <c r="C588" s="65" t="s">
        <v>440</v>
      </c>
      <c r="D588" s="65">
        <v>0</v>
      </c>
      <c r="E588" s="65"/>
      <c r="F588" s="70">
        <v>-542.95000000000005</v>
      </c>
      <c r="G588" s="70">
        <v>-14.11</v>
      </c>
      <c r="H588" s="70">
        <v>-29.37</v>
      </c>
      <c r="I588" s="70">
        <v>-0.51</v>
      </c>
      <c r="J588" s="70">
        <v>-21.8</v>
      </c>
      <c r="K588" s="70">
        <v>-6.43</v>
      </c>
      <c r="L588" s="64">
        <f t="shared" si="9"/>
        <v>542.95000000000005</v>
      </c>
    </row>
    <row r="589" spans="1:12" x14ac:dyDescent="0.25">
      <c r="A589" s="65">
        <v>43</v>
      </c>
      <c r="B589" s="65" t="s">
        <v>229</v>
      </c>
      <c r="C589" s="65" t="s">
        <v>276</v>
      </c>
      <c r="D589" s="65">
        <v>0</v>
      </c>
      <c r="E589" s="65"/>
      <c r="F589" s="70">
        <v>-231.79</v>
      </c>
      <c r="G589" s="70">
        <v>-1.83</v>
      </c>
      <c r="H589" s="70">
        <v>-29.4</v>
      </c>
      <c r="I589" s="70">
        <v>-0.17</v>
      </c>
      <c r="J589" s="70">
        <v>-19.309999999999999</v>
      </c>
      <c r="K589" s="70">
        <v>-0.98</v>
      </c>
      <c r="L589" s="64">
        <f t="shared" si="9"/>
        <v>231.79</v>
      </c>
    </row>
    <row r="590" spans="1:12" x14ac:dyDescent="0.25">
      <c r="A590" s="65">
        <v>2530</v>
      </c>
      <c r="B590" s="65" t="s">
        <v>229</v>
      </c>
      <c r="C590" s="65" t="s">
        <v>1036</v>
      </c>
      <c r="D590" s="65">
        <v>0</v>
      </c>
      <c r="E590" s="65"/>
      <c r="F590" s="70">
        <v>-233.47</v>
      </c>
      <c r="G590" s="70">
        <v>-1.83</v>
      </c>
      <c r="H590" s="70">
        <v>-29.43</v>
      </c>
      <c r="I590" s="70">
        <v>-0.17</v>
      </c>
      <c r="J590" s="70">
        <v>-18.88</v>
      </c>
      <c r="K590" s="70">
        <v>-0.84</v>
      </c>
      <c r="L590" s="64">
        <f t="shared" si="9"/>
        <v>233.47</v>
      </c>
    </row>
    <row r="591" spans="1:12" x14ac:dyDescent="0.25">
      <c r="A591" s="65">
        <v>2319</v>
      </c>
      <c r="B591" s="65" t="s">
        <v>229</v>
      </c>
      <c r="C591" s="65" t="s">
        <v>830</v>
      </c>
      <c r="D591" s="65">
        <v>0</v>
      </c>
      <c r="E591" s="65"/>
      <c r="F591" s="70">
        <v>-800.79</v>
      </c>
      <c r="G591" s="70">
        <v>-12.95</v>
      </c>
      <c r="H591" s="70">
        <v>-29.47</v>
      </c>
      <c r="I591" s="70">
        <v>-0.31</v>
      </c>
      <c r="J591" s="70">
        <v>-45.13</v>
      </c>
      <c r="K591" s="70">
        <v>-5.66</v>
      </c>
      <c r="L591" s="64">
        <f t="shared" si="9"/>
        <v>800.79</v>
      </c>
    </row>
    <row r="592" spans="1:12" x14ac:dyDescent="0.25">
      <c r="A592" s="65">
        <v>2528</v>
      </c>
      <c r="B592" s="65" t="s">
        <v>229</v>
      </c>
      <c r="C592" s="65" t="s">
        <v>1033</v>
      </c>
      <c r="D592" s="65">
        <v>4</v>
      </c>
      <c r="E592" s="65"/>
      <c r="F592" s="70">
        <v>-323.04000000000002</v>
      </c>
      <c r="G592" s="70">
        <v>-1.92</v>
      </c>
      <c r="H592" s="70">
        <v>-29.76</v>
      </c>
      <c r="I592" s="70">
        <v>-0.15</v>
      </c>
      <c r="J592" s="70">
        <v>-15.77</v>
      </c>
      <c r="K592" s="70">
        <v>1.03</v>
      </c>
      <c r="L592" s="64">
        <f t="shared" si="9"/>
        <v>323.04000000000002</v>
      </c>
    </row>
    <row r="593" spans="1:12" x14ac:dyDescent="0.25">
      <c r="A593" s="65">
        <v>42</v>
      </c>
      <c r="B593" s="65" t="s">
        <v>229</v>
      </c>
      <c r="C593" s="65" t="s">
        <v>274</v>
      </c>
      <c r="D593" s="65">
        <v>0</v>
      </c>
      <c r="E593" s="65"/>
      <c r="F593" s="70">
        <v>-179.48</v>
      </c>
      <c r="G593" s="70">
        <v>-1.74</v>
      </c>
      <c r="H593" s="70">
        <v>-29.86</v>
      </c>
      <c r="I593" s="70">
        <v>-0.18</v>
      </c>
      <c r="J593" s="70">
        <v>-19.57</v>
      </c>
      <c r="K593" s="70">
        <v>-0.92</v>
      </c>
      <c r="L593" s="64">
        <f t="shared" si="9"/>
        <v>179.48</v>
      </c>
    </row>
    <row r="594" spans="1:12" x14ac:dyDescent="0.25">
      <c r="A594" s="65">
        <v>2257</v>
      </c>
      <c r="B594" s="65" t="s">
        <v>229</v>
      </c>
      <c r="C594" s="65" t="s">
        <v>779</v>
      </c>
      <c r="D594" s="65">
        <v>4</v>
      </c>
      <c r="E594" s="65"/>
      <c r="F594" s="70">
        <v>109.71</v>
      </c>
      <c r="G594" s="70">
        <v>-10.8</v>
      </c>
      <c r="H594" s="70">
        <v>-30.02</v>
      </c>
      <c r="I594" s="70">
        <v>-0.67</v>
      </c>
      <c r="J594" s="70">
        <v>22.86</v>
      </c>
      <c r="K594" s="70">
        <v>5.72</v>
      </c>
      <c r="L594" s="64">
        <f t="shared" si="9"/>
        <v>-109.71</v>
      </c>
    </row>
    <row r="595" spans="1:12" x14ac:dyDescent="0.25">
      <c r="A595" s="65">
        <v>2054</v>
      </c>
      <c r="B595" s="65" t="s">
        <v>229</v>
      </c>
      <c r="C595" s="65" t="s">
        <v>588</v>
      </c>
      <c r="D595" s="65">
        <v>0</v>
      </c>
      <c r="E595" s="65"/>
      <c r="F595" s="70">
        <v>509.96</v>
      </c>
      <c r="G595" s="70">
        <v>-7.79</v>
      </c>
      <c r="H595" s="70">
        <v>-30.37</v>
      </c>
      <c r="I595" s="70">
        <v>-0.74</v>
      </c>
      <c r="J595" s="70">
        <v>57.33</v>
      </c>
      <c r="K595" s="70">
        <v>-3.76</v>
      </c>
      <c r="L595" s="64">
        <f t="shared" si="9"/>
        <v>-509.96</v>
      </c>
    </row>
    <row r="596" spans="1:12" x14ac:dyDescent="0.25">
      <c r="A596" s="65">
        <v>2050</v>
      </c>
      <c r="B596" s="65" t="s">
        <v>229</v>
      </c>
      <c r="C596" s="65" t="s">
        <v>580</v>
      </c>
      <c r="D596" s="65">
        <v>0</v>
      </c>
      <c r="E596" s="65"/>
      <c r="F596" s="70">
        <v>107.58</v>
      </c>
      <c r="G596" s="70">
        <v>-10.8</v>
      </c>
      <c r="H596" s="70">
        <v>-30.43</v>
      </c>
      <c r="I596" s="70">
        <v>-0.67</v>
      </c>
      <c r="J596" s="70">
        <v>-15.69</v>
      </c>
      <c r="K596" s="70">
        <v>-4.97</v>
      </c>
      <c r="L596" s="64">
        <f t="shared" si="9"/>
        <v>-107.58</v>
      </c>
    </row>
    <row r="597" spans="1:12" x14ac:dyDescent="0.25">
      <c r="A597" s="65">
        <v>2192</v>
      </c>
      <c r="B597" s="65" t="s">
        <v>229</v>
      </c>
      <c r="C597" s="65" t="s">
        <v>720</v>
      </c>
      <c r="D597" s="65">
        <v>0</v>
      </c>
      <c r="E597" s="65"/>
      <c r="F597" s="70">
        <v>509.95</v>
      </c>
      <c r="G597" s="70">
        <v>-7.78</v>
      </c>
      <c r="H597" s="70">
        <v>-30.7</v>
      </c>
      <c r="I597" s="70">
        <v>-0.74</v>
      </c>
      <c r="J597" s="70">
        <v>57.27</v>
      </c>
      <c r="K597" s="70">
        <v>-3.75</v>
      </c>
      <c r="L597" s="64">
        <f t="shared" si="9"/>
        <v>-509.95</v>
      </c>
    </row>
    <row r="598" spans="1:12" x14ac:dyDescent="0.25">
      <c r="A598" s="65">
        <v>2322</v>
      </c>
      <c r="B598" s="65" t="s">
        <v>229</v>
      </c>
      <c r="C598" s="65" t="s">
        <v>836</v>
      </c>
      <c r="D598" s="65">
        <v>0</v>
      </c>
      <c r="E598" s="65"/>
      <c r="F598" s="70">
        <v>-544.87</v>
      </c>
      <c r="G598" s="70">
        <v>-14.21</v>
      </c>
      <c r="H598" s="70">
        <v>-30.78</v>
      </c>
      <c r="I598" s="70">
        <v>-0.51</v>
      </c>
      <c r="J598" s="70">
        <v>-22.59</v>
      </c>
      <c r="K598" s="70">
        <v>-6.48</v>
      </c>
      <c r="L598" s="64">
        <f t="shared" si="9"/>
        <v>544.87</v>
      </c>
    </row>
    <row r="599" spans="1:12" x14ac:dyDescent="0.25">
      <c r="A599" s="65">
        <v>2546</v>
      </c>
      <c r="B599" s="65" t="s">
        <v>229</v>
      </c>
      <c r="C599" s="65" t="s">
        <v>1068</v>
      </c>
      <c r="D599" s="65">
        <v>0</v>
      </c>
      <c r="E599" s="65"/>
      <c r="F599" s="70">
        <v>-229.5</v>
      </c>
      <c r="G599" s="70">
        <v>-1.82</v>
      </c>
      <c r="H599" s="70">
        <v>-30.79</v>
      </c>
      <c r="I599" s="70">
        <v>-0.17</v>
      </c>
      <c r="J599" s="70">
        <v>-20.010000000000002</v>
      </c>
      <c r="K599" s="70">
        <v>-0.97</v>
      </c>
      <c r="L599" s="64">
        <f t="shared" si="9"/>
        <v>229.5</v>
      </c>
    </row>
    <row r="600" spans="1:12" x14ac:dyDescent="0.25">
      <c r="A600" s="65">
        <v>1909</v>
      </c>
      <c r="B600" s="65" t="s">
        <v>229</v>
      </c>
      <c r="C600" s="65" t="s">
        <v>442</v>
      </c>
      <c r="D600" s="65">
        <v>0</v>
      </c>
      <c r="E600" s="65"/>
      <c r="F600" s="70">
        <v>-448.15</v>
      </c>
      <c r="G600" s="70">
        <v>-13.63</v>
      </c>
      <c r="H600" s="70">
        <v>-30.82</v>
      </c>
      <c r="I600" s="70">
        <v>-0.55000000000000004</v>
      </c>
      <c r="J600" s="70">
        <v>-24.1</v>
      </c>
      <c r="K600" s="70">
        <v>-6.22</v>
      </c>
      <c r="L600" s="64">
        <f t="shared" si="9"/>
        <v>448.15</v>
      </c>
    </row>
    <row r="601" spans="1:12" x14ac:dyDescent="0.25">
      <c r="A601" s="65">
        <v>1766</v>
      </c>
      <c r="B601" s="65" t="s">
        <v>229</v>
      </c>
      <c r="C601" s="65" t="s">
        <v>301</v>
      </c>
      <c r="D601" s="65">
        <v>4</v>
      </c>
      <c r="E601" s="65"/>
      <c r="F601" s="70">
        <v>-857.7</v>
      </c>
      <c r="G601" s="70">
        <v>-11.21</v>
      </c>
      <c r="H601" s="70">
        <v>-30.89</v>
      </c>
      <c r="I601" s="70">
        <v>-0.21</v>
      </c>
      <c r="J601" s="70">
        <v>-45.76</v>
      </c>
      <c r="K601" s="70">
        <v>6.25</v>
      </c>
      <c r="L601" s="64">
        <f t="shared" si="9"/>
        <v>857.7</v>
      </c>
    </row>
    <row r="602" spans="1:12" x14ac:dyDescent="0.25">
      <c r="A602" s="65">
        <v>1985</v>
      </c>
      <c r="B602" s="65" t="s">
        <v>229</v>
      </c>
      <c r="C602" s="65" t="s">
        <v>523</v>
      </c>
      <c r="D602" s="65">
        <v>4</v>
      </c>
      <c r="E602" s="65"/>
      <c r="F602" s="70">
        <v>511.11</v>
      </c>
      <c r="G602" s="70">
        <v>-7.79</v>
      </c>
      <c r="H602" s="70">
        <v>-30.89</v>
      </c>
      <c r="I602" s="70">
        <v>-0.74</v>
      </c>
      <c r="J602" s="70">
        <v>66.569999999999993</v>
      </c>
      <c r="K602" s="70">
        <v>3.95</v>
      </c>
      <c r="L602" s="64">
        <f t="shared" si="9"/>
        <v>-511.11</v>
      </c>
    </row>
    <row r="603" spans="1:12" x14ac:dyDescent="0.25">
      <c r="A603" s="65">
        <v>2188</v>
      </c>
      <c r="B603" s="65" t="s">
        <v>229</v>
      </c>
      <c r="C603" s="65" t="s">
        <v>712</v>
      </c>
      <c r="D603" s="65">
        <v>0</v>
      </c>
      <c r="E603" s="65"/>
      <c r="F603" s="70">
        <v>107.62</v>
      </c>
      <c r="G603" s="70">
        <v>-10.8</v>
      </c>
      <c r="H603" s="70">
        <v>-30.92</v>
      </c>
      <c r="I603" s="70">
        <v>-0.67</v>
      </c>
      <c r="J603" s="70">
        <v>-15.99</v>
      </c>
      <c r="K603" s="70">
        <v>-4.97</v>
      </c>
      <c r="L603" s="64">
        <f t="shared" si="9"/>
        <v>-107.62</v>
      </c>
    </row>
    <row r="604" spans="1:12" x14ac:dyDescent="0.25">
      <c r="A604" s="65">
        <v>1837</v>
      </c>
      <c r="B604" s="65" t="s">
        <v>229</v>
      </c>
      <c r="C604" s="65" t="s">
        <v>371</v>
      </c>
      <c r="D604" s="65">
        <v>4</v>
      </c>
      <c r="E604" s="65"/>
      <c r="F604" s="70">
        <v>-725.48</v>
      </c>
      <c r="G604" s="70">
        <v>-13.76</v>
      </c>
      <c r="H604" s="70">
        <v>-31.06</v>
      </c>
      <c r="I604" s="70">
        <v>-0.41</v>
      </c>
      <c r="J604" s="70">
        <v>-37.19</v>
      </c>
      <c r="K604" s="70">
        <v>7.47</v>
      </c>
      <c r="L604" s="64">
        <f t="shared" si="9"/>
        <v>725.48</v>
      </c>
    </row>
    <row r="605" spans="1:12" x14ac:dyDescent="0.25">
      <c r="A605" s="65">
        <v>1926</v>
      </c>
      <c r="B605" s="65" t="s">
        <v>229</v>
      </c>
      <c r="C605" s="65" t="s">
        <v>476</v>
      </c>
      <c r="D605" s="65">
        <v>0</v>
      </c>
      <c r="E605" s="65"/>
      <c r="F605" s="70">
        <v>-540.95000000000005</v>
      </c>
      <c r="G605" s="70">
        <v>-14.19</v>
      </c>
      <c r="H605" s="70">
        <v>-31.16</v>
      </c>
      <c r="I605" s="70">
        <v>-0.51</v>
      </c>
      <c r="J605" s="70">
        <v>-23.07</v>
      </c>
      <c r="K605" s="70">
        <v>-7.58</v>
      </c>
      <c r="L605" s="64">
        <f t="shared" si="9"/>
        <v>540.95000000000005</v>
      </c>
    </row>
    <row r="606" spans="1:12" x14ac:dyDescent="0.25">
      <c r="A606" s="65">
        <v>29</v>
      </c>
      <c r="B606" s="65" t="s">
        <v>229</v>
      </c>
      <c r="C606" s="65" t="s">
        <v>249</v>
      </c>
      <c r="D606" s="65">
        <v>4</v>
      </c>
      <c r="E606" s="65"/>
      <c r="F606" s="70">
        <v>-117.84</v>
      </c>
      <c r="G606" s="70">
        <v>-1.6</v>
      </c>
      <c r="H606" s="70">
        <v>-31.23</v>
      </c>
      <c r="I606" s="70">
        <v>-0.19</v>
      </c>
      <c r="J606" s="70">
        <v>-18.98</v>
      </c>
      <c r="K606" s="70">
        <v>0.85</v>
      </c>
      <c r="L606" s="64">
        <f t="shared" si="9"/>
        <v>117.84</v>
      </c>
    </row>
    <row r="607" spans="1:12" x14ac:dyDescent="0.25">
      <c r="A607" s="65">
        <v>2545</v>
      </c>
      <c r="B607" s="65" t="s">
        <v>229</v>
      </c>
      <c r="C607" s="65" t="s">
        <v>1066</v>
      </c>
      <c r="D607" s="65">
        <v>0</v>
      </c>
      <c r="E607" s="65"/>
      <c r="F607" s="70">
        <v>-177.01</v>
      </c>
      <c r="G607" s="70">
        <v>-1.73</v>
      </c>
      <c r="H607" s="70">
        <v>-31.23</v>
      </c>
      <c r="I607" s="70">
        <v>-0.18</v>
      </c>
      <c r="J607" s="70">
        <v>-20.27</v>
      </c>
      <c r="K607" s="70">
        <v>-0.92</v>
      </c>
      <c r="L607" s="64">
        <f t="shared" si="9"/>
        <v>177.01</v>
      </c>
    </row>
    <row r="608" spans="1:12" x14ac:dyDescent="0.25">
      <c r="A608" s="65">
        <v>2456</v>
      </c>
      <c r="B608" s="65" t="s">
        <v>229</v>
      </c>
      <c r="C608" s="65" t="s">
        <v>961</v>
      </c>
      <c r="D608" s="65">
        <v>4</v>
      </c>
      <c r="E608" s="65"/>
      <c r="F608" s="70">
        <v>-858.8</v>
      </c>
      <c r="G608" s="70">
        <v>-11.38</v>
      </c>
      <c r="H608" s="70">
        <v>-31.28</v>
      </c>
      <c r="I608" s="70">
        <v>-0.22</v>
      </c>
      <c r="J608" s="70">
        <v>-45.52</v>
      </c>
      <c r="K608" s="70">
        <v>6.34</v>
      </c>
      <c r="L608" s="64">
        <f t="shared" si="9"/>
        <v>858.8</v>
      </c>
    </row>
    <row r="609" spans="1:12" x14ac:dyDescent="0.25">
      <c r="A609" s="65">
        <v>2261</v>
      </c>
      <c r="B609" s="65" t="s">
        <v>229</v>
      </c>
      <c r="C609" s="65" t="s">
        <v>787</v>
      </c>
      <c r="D609" s="65">
        <v>4</v>
      </c>
      <c r="E609" s="65"/>
      <c r="F609" s="70">
        <v>511.1</v>
      </c>
      <c r="G609" s="70">
        <v>-7.78</v>
      </c>
      <c r="H609" s="70">
        <v>-31.6</v>
      </c>
      <c r="I609" s="70">
        <v>-0.74</v>
      </c>
      <c r="J609" s="70">
        <v>66.89</v>
      </c>
      <c r="K609" s="70">
        <v>3.95</v>
      </c>
      <c r="L609" s="64">
        <f t="shared" si="9"/>
        <v>-511.1</v>
      </c>
    </row>
    <row r="610" spans="1:12" x14ac:dyDescent="0.25">
      <c r="A610" s="65">
        <v>1906</v>
      </c>
      <c r="B610" s="65" t="s">
        <v>229</v>
      </c>
      <c r="C610" s="65" t="s">
        <v>436</v>
      </c>
      <c r="D610" s="65">
        <v>0</v>
      </c>
      <c r="E610" s="65"/>
      <c r="F610" s="70">
        <v>-723.53</v>
      </c>
      <c r="G610" s="70">
        <v>-13.78</v>
      </c>
      <c r="H610" s="70">
        <v>-31.62</v>
      </c>
      <c r="I610" s="70">
        <v>-0.41</v>
      </c>
      <c r="J610" s="70">
        <v>-38.9</v>
      </c>
      <c r="K610" s="70">
        <v>-6.13</v>
      </c>
      <c r="L610" s="64">
        <f t="shared" si="9"/>
        <v>723.53</v>
      </c>
    </row>
    <row r="611" spans="1:12" x14ac:dyDescent="0.25">
      <c r="A611" s="65">
        <v>1980</v>
      </c>
      <c r="B611" s="65" t="s">
        <v>229</v>
      </c>
      <c r="C611" s="65" t="s">
        <v>512</v>
      </c>
      <c r="D611" s="65">
        <v>0</v>
      </c>
      <c r="E611" s="65"/>
      <c r="F611" s="70">
        <v>-221.57</v>
      </c>
      <c r="G611" s="70">
        <v>-12.03</v>
      </c>
      <c r="H611" s="70">
        <v>-31.96</v>
      </c>
      <c r="I611" s="70">
        <v>-0.63</v>
      </c>
      <c r="J611" s="70">
        <v>-22.51</v>
      </c>
      <c r="K611" s="70">
        <v>-5.52</v>
      </c>
      <c r="L611" s="64">
        <f t="shared" si="9"/>
        <v>221.57</v>
      </c>
    </row>
    <row r="612" spans="1:12" x14ac:dyDescent="0.25">
      <c r="A612" s="65">
        <v>2389</v>
      </c>
      <c r="B612" s="65" t="s">
        <v>229</v>
      </c>
      <c r="C612" s="65" t="s">
        <v>899</v>
      </c>
      <c r="D612" s="65">
        <v>4</v>
      </c>
      <c r="E612" s="65"/>
      <c r="F612" s="70">
        <v>-726.55</v>
      </c>
      <c r="G612" s="70">
        <v>-13.97</v>
      </c>
      <c r="H612" s="70">
        <v>-32.08</v>
      </c>
      <c r="I612" s="70">
        <v>-0.41</v>
      </c>
      <c r="J612" s="70">
        <v>-36.24</v>
      </c>
      <c r="K612" s="70">
        <v>7.58</v>
      </c>
      <c r="L612" s="64">
        <f t="shared" si="9"/>
        <v>726.55</v>
      </c>
    </row>
    <row r="613" spans="1:12" x14ac:dyDescent="0.25">
      <c r="A613" s="65">
        <v>1835</v>
      </c>
      <c r="B613" s="65" t="s">
        <v>229</v>
      </c>
      <c r="C613" s="65" t="s">
        <v>366</v>
      </c>
      <c r="D613" s="65">
        <v>0</v>
      </c>
      <c r="E613" s="65"/>
      <c r="F613" s="70">
        <v>-856.52</v>
      </c>
      <c r="G613" s="70">
        <v>-11.22</v>
      </c>
      <c r="H613" s="70">
        <v>-32.090000000000003</v>
      </c>
      <c r="I613" s="70">
        <v>-0.21</v>
      </c>
      <c r="J613" s="70">
        <v>-58.37</v>
      </c>
      <c r="K613" s="70">
        <v>-4.93</v>
      </c>
      <c r="L613" s="64">
        <f t="shared" si="9"/>
        <v>856.52</v>
      </c>
    </row>
    <row r="614" spans="1:12" x14ac:dyDescent="0.25">
      <c r="A614" s="65">
        <v>2323</v>
      </c>
      <c r="B614" s="65" t="s">
        <v>229</v>
      </c>
      <c r="C614" s="65" t="s">
        <v>838</v>
      </c>
      <c r="D614" s="65">
        <v>0</v>
      </c>
      <c r="E614" s="65"/>
      <c r="F614" s="70">
        <v>-450.61</v>
      </c>
      <c r="G614" s="70">
        <v>-13.7</v>
      </c>
      <c r="H614" s="70">
        <v>-32.159999999999997</v>
      </c>
      <c r="I614" s="70">
        <v>-0.55000000000000004</v>
      </c>
      <c r="J614" s="70">
        <v>-24.87</v>
      </c>
      <c r="K614" s="70">
        <v>-6.26</v>
      </c>
      <c r="L614" s="64">
        <f t="shared" si="9"/>
        <v>450.61</v>
      </c>
    </row>
    <row r="615" spans="1:12" x14ac:dyDescent="0.25">
      <c r="A615" s="65">
        <v>28</v>
      </c>
      <c r="B615" s="65" t="s">
        <v>229</v>
      </c>
      <c r="C615" s="65" t="s">
        <v>246</v>
      </c>
      <c r="D615" s="65">
        <v>0</v>
      </c>
      <c r="E615" s="65"/>
      <c r="F615" s="70">
        <v>-178.61</v>
      </c>
      <c r="G615" s="70">
        <v>-1.73</v>
      </c>
      <c r="H615" s="70">
        <v>-32.31</v>
      </c>
      <c r="I615" s="70">
        <v>-0.18</v>
      </c>
      <c r="J615" s="70">
        <v>-20.45</v>
      </c>
      <c r="K615" s="70">
        <v>-0.79</v>
      </c>
      <c r="L615" s="64">
        <f t="shared" si="9"/>
        <v>178.61</v>
      </c>
    </row>
    <row r="616" spans="1:12" x14ac:dyDescent="0.25">
      <c r="A616" s="65">
        <v>2340</v>
      </c>
      <c r="B616" s="65" t="s">
        <v>229</v>
      </c>
      <c r="C616" s="65" t="s">
        <v>872</v>
      </c>
      <c r="D616" s="65">
        <v>0</v>
      </c>
      <c r="E616" s="65"/>
      <c r="F616" s="70">
        <v>-539.02</v>
      </c>
      <c r="G616" s="70">
        <v>-14.09</v>
      </c>
      <c r="H616" s="70">
        <v>-32.31</v>
      </c>
      <c r="I616" s="70">
        <v>-0.51</v>
      </c>
      <c r="J616" s="70">
        <v>-23.85</v>
      </c>
      <c r="K616" s="70">
        <v>-7.52</v>
      </c>
      <c r="L616" s="64">
        <f t="shared" si="9"/>
        <v>539.02</v>
      </c>
    </row>
    <row r="617" spans="1:12" x14ac:dyDescent="0.25">
      <c r="A617" s="65">
        <v>2320</v>
      </c>
      <c r="B617" s="65" t="s">
        <v>229</v>
      </c>
      <c r="C617" s="65" t="s">
        <v>832</v>
      </c>
      <c r="D617" s="65">
        <v>0</v>
      </c>
      <c r="E617" s="65"/>
      <c r="F617" s="70">
        <v>-724.31</v>
      </c>
      <c r="G617" s="70">
        <v>-13.96</v>
      </c>
      <c r="H617" s="70">
        <v>-32.369999999999997</v>
      </c>
      <c r="I617" s="70">
        <v>-0.41</v>
      </c>
      <c r="J617" s="70">
        <v>-39.71</v>
      </c>
      <c r="K617" s="70">
        <v>-6.21</v>
      </c>
      <c r="L617" s="64">
        <f t="shared" si="9"/>
        <v>724.31</v>
      </c>
    </row>
    <row r="618" spans="1:12" x14ac:dyDescent="0.25">
      <c r="A618" s="65">
        <v>50</v>
      </c>
      <c r="B618" s="65" t="s">
        <v>229</v>
      </c>
      <c r="C618" s="65" t="s">
        <v>291</v>
      </c>
      <c r="D618" s="65">
        <v>4</v>
      </c>
      <c r="E618" s="65"/>
      <c r="F618" s="70">
        <v>-365.51</v>
      </c>
      <c r="G618" s="70">
        <v>-0.97</v>
      </c>
      <c r="H618" s="70">
        <v>-32.380000000000003</v>
      </c>
      <c r="I618" s="70">
        <v>0.04</v>
      </c>
      <c r="J618" s="70">
        <v>-4.08</v>
      </c>
      <c r="K618" s="70">
        <v>0.43</v>
      </c>
      <c r="L618" s="64">
        <f t="shared" si="9"/>
        <v>365.51</v>
      </c>
    </row>
    <row r="619" spans="1:12" x14ac:dyDescent="0.25">
      <c r="A619" s="65">
        <v>2387</v>
      </c>
      <c r="B619" s="65" t="s">
        <v>229</v>
      </c>
      <c r="C619" s="65" t="s">
        <v>894</v>
      </c>
      <c r="D619" s="65">
        <v>0</v>
      </c>
      <c r="E619" s="65"/>
      <c r="F619" s="70">
        <v>-857.33</v>
      </c>
      <c r="G619" s="70">
        <v>-11.37</v>
      </c>
      <c r="H619" s="70">
        <v>-32.409999999999997</v>
      </c>
      <c r="I619" s="70">
        <v>-0.22</v>
      </c>
      <c r="J619" s="70">
        <v>-58.83</v>
      </c>
      <c r="K619" s="70">
        <v>-4.99</v>
      </c>
      <c r="L619" s="64">
        <f t="shared" si="9"/>
        <v>857.33</v>
      </c>
    </row>
    <row r="620" spans="1:12" x14ac:dyDescent="0.25">
      <c r="A620" s="65">
        <v>2553</v>
      </c>
      <c r="B620" s="65" t="s">
        <v>229</v>
      </c>
      <c r="C620" s="65" t="s">
        <v>1083</v>
      </c>
      <c r="D620" s="65">
        <v>4</v>
      </c>
      <c r="E620" s="65"/>
      <c r="F620" s="70">
        <v>-364.88</v>
      </c>
      <c r="G620" s="70">
        <v>-0.97</v>
      </c>
      <c r="H620" s="70">
        <v>-32.43</v>
      </c>
      <c r="I620" s="70">
        <v>0.04</v>
      </c>
      <c r="J620" s="70">
        <v>-4.3</v>
      </c>
      <c r="K620" s="70">
        <v>0.43</v>
      </c>
      <c r="L620" s="64">
        <f t="shared" si="9"/>
        <v>364.88</v>
      </c>
    </row>
    <row r="621" spans="1:12" x14ac:dyDescent="0.25">
      <c r="A621" s="65">
        <v>25</v>
      </c>
      <c r="B621" s="65" t="s">
        <v>229</v>
      </c>
      <c r="C621" s="65" t="s">
        <v>240</v>
      </c>
      <c r="D621" s="65">
        <v>0</v>
      </c>
      <c r="E621" s="65"/>
      <c r="F621" s="70">
        <v>-323.79000000000002</v>
      </c>
      <c r="G621" s="70">
        <v>-1.89</v>
      </c>
      <c r="H621" s="70">
        <v>-32.479999999999997</v>
      </c>
      <c r="I621" s="70">
        <v>-0.15</v>
      </c>
      <c r="J621" s="70">
        <v>-22.47</v>
      </c>
      <c r="K621" s="70">
        <v>-0.86</v>
      </c>
      <c r="L621" s="64">
        <f t="shared" si="9"/>
        <v>323.79000000000002</v>
      </c>
    </row>
    <row r="622" spans="1:12" x14ac:dyDescent="0.25">
      <c r="A622" s="65">
        <v>2532</v>
      </c>
      <c r="B622" s="65" t="s">
        <v>229</v>
      </c>
      <c r="C622" s="65" t="s">
        <v>1041</v>
      </c>
      <c r="D622" s="65">
        <v>4</v>
      </c>
      <c r="E622" s="65"/>
      <c r="F622" s="70">
        <v>-119.88</v>
      </c>
      <c r="G622" s="70">
        <v>-1.61</v>
      </c>
      <c r="H622" s="70">
        <v>-32.5</v>
      </c>
      <c r="I622" s="70">
        <v>-0.19</v>
      </c>
      <c r="J622" s="70">
        <v>-18.28</v>
      </c>
      <c r="K622" s="70">
        <v>0.86</v>
      </c>
      <c r="L622" s="64">
        <f t="shared" si="9"/>
        <v>119.88</v>
      </c>
    </row>
    <row r="623" spans="1:12" x14ac:dyDescent="0.25">
      <c r="A623" s="65">
        <v>1924</v>
      </c>
      <c r="B623" s="65" t="s">
        <v>229</v>
      </c>
      <c r="C623" s="65" t="s">
        <v>472</v>
      </c>
      <c r="D623" s="65">
        <v>0</v>
      </c>
      <c r="E623" s="65"/>
      <c r="F623" s="70">
        <v>-343.82</v>
      </c>
      <c r="G623" s="70">
        <v>-13</v>
      </c>
      <c r="H623" s="70">
        <v>-32.71</v>
      </c>
      <c r="I623" s="70">
        <v>-0.6</v>
      </c>
      <c r="J623" s="70">
        <v>-26.24</v>
      </c>
      <c r="K623" s="70">
        <v>-6.91</v>
      </c>
      <c r="L623" s="64">
        <f t="shared" si="9"/>
        <v>343.82</v>
      </c>
    </row>
    <row r="624" spans="1:12" x14ac:dyDescent="0.25">
      <c r="A624" s="65">
        <v>2256</v>
      </c>
      <c r="B624" s="65" t="s">
        <v>229</v>
      </c>
      <c r="C624" s="65" t="s">
        <v>776</v>
      </c>
      <c r="D624" s="65">
        <v>0</v>
      </c>
      <c r="E624" s="65"/>
      <c r="F624" s="70">
        <v>-223.5</v>
      </c>
      <c r="G624" s="70">
        <v>-12.06</v>
      </c>
      <c r="H624" s="70">
        <v>-32.92</v>
      </c>
      <c r="I624" s="70">
        <v>-0.63</v>
      </c>
      <c r="J624" s="70">
        <v>-23.1</v>
      </c>
      <c r="K624" s="70">
        <v>-5.53</v>
      </c>
      <c r="L624" s="64">
        <f t="shared" si="9"/>
        <v>223.5</v>
      </c>
    </row>
    <row r="625" spans="1:12" x14ac:dyDescent="0.25">
      <c r="A625" s="65">
        <v>1982</v>
      </c>
      <c r="B625" s="65" t="s">
        <v>229</v>
      </c>
      <c r="C625" s="65" t="s">
        <v>517</v>
      </c>
      <c r="D625" s="65">
        <v>4</v>
      </c>
      <c r="E625" s="65"/>
      <c r="F625" s="70">
        <v>225.4</v>
      </c>
      <c r="G625" s="70">
        <v>-9.8800000000000008</v>
      </c>
      <c r="H625" s="70">
        <v>-32.93</v>
      </c>
      <c r="I625" s="70">
        <v>-0.69</v>
      </c>
      <c r="J625" s="70">
        <v>35.51</v>
      </c>
      <c r="K625" s="70">
        <v>5.2</v>
      </c>
      <c r="L625" s="64">
        <f t="shared" si="9"/>
        <v>-225.4</v>
      </c>
    </row>
    <row r="626" spans="1:12" x14ac:dyDescent="0.25">
      <c r="A626" s="65">
        <v>50</v>
      </c>
      <c r="B626" s="65" t="s">
        <v>229</v>
      </c>
      <c r="C626" s="65" t="s">
        <v>290</v>
      </c>
      <c r="D626" s="65">
        <v>0</v>
      </c>
      <c r="E626" s="65"/>
      <c r="F626" s="70">
        <v>-360.96</v>
      </c>
      <c r="G626" s="70">
        <v>-0.97</v>
      </c>
      <c r="H626" s="70">
        <v>-33.090000000000003</v>
      </c>
      <c r="I626" s="70">
        <v>0.04</v>
      </c>
      <c r="J626" s="70">
        <v>-29.06</v>
      </c>
      <c r="K626" s="70">
        <v>-0.55000000000000004</v>
      </c>
      <c r="L626" s="64">
        <f t="shared" si="9"/>
        <v>360.96</v>
      </c>
    </row>
    <row r="627" spans="1:12" x14ac:dyDescent="0.25">
      <c r="A627" s="65">
        <v>2553</v>
      </c>
      <c r="B627" s="65" t="s">
        <v>229</v>
      </c>
      <c r="C627" s="65" t="s">
        <v>1082</v>
      </c>
      <c r="D627" s="65">
        <v>0</v>
      </c>
      <c r="E627" s="65"/>
      <c r="F627" s="70">
        <v>-360.32</v>
      </c>
      <c r="G627" s="70">
        <v>-0.97</v>
      </c>
      <c r="H627" s="70">
        <v>-33.14</v>
      </c>
      <c r="I627" s="70">
        <v>0.04</v>
      </c>
      <c r="J627" s="70">
        <v>-29.08</v>
      </c>
      <c r="K627" s="70">
        <v>-0.55000000000000004</v>
      </c>
      <c r="L627" s="64">
        <f t="shared" si="9"/>
        <v>360.32</v>
      </c>
    </row>
    <row r="628" spans="1:12" x14ac:dyDescent="0.25">
      <c r="A628" s="65">
        <v>1911</v>
      </c>
      <c r="B628" s="65" t="s">
        <v>229</v>
      </c>
      <c r="C628" s="65" t="s">
        <v>447</v>
      </c>
      <c r="D628" s="65">
        <v>4</v>
      </c>
      <c r="E628" s="65"/>
      <c r="F628" s="70">
        <v>-223.63</v>
      </c>
      <c r="G628" s="70">
        <v>-12.02</v>
      </c>
      <c r="H628" s="70">
        <v>-33.270000000000003</v>
      </c>
      <c r="I628" s="70">
        <v>-0.63</v>
      </c>
      <c r="J628" s="70">
        <v>-23.55</v>
      </c>
      <c r="K628" s="70">
        <v>6.38</v>
      </c>
      <c r="L628" s="64">
        <f t="shared" si="9"/>
        <v>223.63</v>
      </c>
    </row>
    <row r="629" spans="1:12" x14ac:dyDescent="0.25">
      <c r="A629" s="65">
        <v>1767</v>
      </c>
      <c r="B629" s="65" t="s">
        <v>229</v>
      </c>
      <c r="C629" s="65" t="s">
        <v>303</v>
      </c>
      <c r="D629" s="65">
        <v>4</v>
      </c>
      <c r="E629" s="65"/>
      <c r="F629" s="70">
        <v>-809.72</v>
      </c>
      <c r="G629" s="70">
        <v>-12.74</v>
      </c>
      <c r="H629" s="70">
        <v>-33.32</v>
      </c>
      <c r="I629" s="70">
        <v>-0.31</v>
      </c>
      <c r="J629" s="70">
        <v>-41.69</v>
      </c>
      <c r="K629" s="70">
        <v>7.02</v>
      </c>
      <c r="L629" s="64">
        <f t="shared" si="9"/>
        <v>809.72</v>
      </c>
    </row>
    <row r="630" spans="1:12" x14ac:dyDescent="0.25">
      <c r="A630" s="65">
        <v>2531</v>
      </c>
      <c r="B630" s="65" t="s">
        <v>229</v>
      </c>
      <c r="C630" s="65" t="s">
        <v>1038</v>
      </c>
      <c r="D630" s="65">
        <v>0</v>
      </c>
      <c r="E630" s="65"/>
      <c r="F630" s="70">
        <v>-181.05</v>
      </c>
      <c r="G630" s="70">
        <v>-1.74</v>
      </c>
      <c r="H630" s="70">
        <v>-33.61</v>
      </c>
      <c r="I630" s="70">
        <v>-0.18</v>
      </c>
      <c r="J630" s="70">
        <v>-21.23</v>
      </c>
      <c r="K630" s="70">
        <v>-0.8</v>
      </c>
      <c r="L630" s="64">
        <f t="shared" si="9"/>
        <v>181.05</v>
      </c>
    </row>
    <row r="631" spans="1:12" x14ac:dyDescent="0.25">
      <c r="A631" s="65">
        <v>2258</v>
      </c>
      <c r="B631" s="65" t="s">
        <v>229</v>
      </c>
      <c r="C631" s="65" t="s">
        <v>781</v>
      </c>
      <c r="D631" s="65">
        <v>4</v>
      </c>
      <c r="E631" s="65"/>
      <c r="F631" s="70">
        <v>224.78</v>
      </c>
      <c r="G631" s="70">
        <v>-9.89</v>
      </c>
      <c r="H631" s="70">
        <v>-33.75</v>
      </c>
      <c r="I631" s="70">
        <v>-0.69</v>
      </c>
      <c r="J631" s="70">
        <v>35.700000000000003</v>
      </c>
      <c r="K631" s="70">
        <v>5.2</v>
      </c>
      <c r="L631" s="64">
        <f t="shared" si="9"/>
        <v>-224.78</v>
      </c>
    </row>
    <row r="632" spans="1:12" x14ac:dyDescent="0.25">
      <c r="A632" s="65">
        <v>2528</v>
      </c>
      <c r="B632" s="65" t="s">
        <v>229</v>
      </c>
      <c r="C632" s="65" t="s">
        <v>1032</v>
      </c>
      <c r="D632" s="65">
        <v>0</v>
      </c>
      <c r="E632" s="65"/>
      <c r="F632" s="70">
        <v>-324.99</v>
      </c>
      <c r="G632" s="70">
        <v>-1.92</v>
      </c>
      <c r="H632" s="70">
        <v>-33.93</v>
      </c>
      <c r="I632" s="70">
        <v>-0.15</v>
      </c>
      <c r="J632" s="70">
        <v>-23.28</v>
      </c>
      <c r="K632" s="70">
        <v>-0.87</v>
      </c>
      <c r="L632" s="64">
        <f t="shared" si="9"/>
        <v>324.99</v>
      </c>
    </row>
    <row r="633" spans="1:12" x14ac:dyDescent="0.25">
      <c r="A633" s="65">
        <v>2338</v>
      </c>
      <c r="B633" s="65" t="s">
        <v>229</v>
      </c>
      <c r="C633" s="65" t="s">
        <v>868</v>
      </c>
      <c r="D633" s="65">
        <v>0</v>
      </c>
      <c r="E633" s="65"/>
      <c r="F633" s="70">
        <v>-340.65</v>
      </c>
      <c r="G633" s="70">
        <v>-12.95</v>
      </c>
      <c r="H633" s="70">
        <v>-33.979999999999997</v>
      </c>
      <c r="I633" s="70">
        <v>-0.6</v>
      </c>
      <c r="J633" s="70">
        <v>-27.09</v>
      </c>
      <c r="K633" s="70">
        <v>-6.89</v>
      </c>
      <c r="L633" s="64">
        <f t="shared" si="9"/>
        <v>340.65</v>
      </c>
    </row>
    <row r="634" spans="1:12" x14ac:dyDescent="0.25">
      <c r="A634" s="65">
        <v>2457</v>
      </c>
      <c r="B634" s="65" t="s">
        <v>229</v>
      </c>
      <c r="C634" s="65" t="s">
        <v>963</v>
      </c>
      <c r="D634" s="65">
        <v>4</v>
      </c>
      <c r="E634" s="65"/>
      <c r="F634" s="70">
        <v>-811.17</v>
      </c>
      <c r="G634" s="70">
        <v>-12.97</v>
      </c>
      <c r="H634" s="70">
        <v>-34.090000000000003</v>
      </c>
      <c r="I634" s="70">
        <v>-0.31</v>
      </c>
      <c r="J634" s="70">
        <v>-41.09</v>
      </c>
      <c r="K634" s="70">
        <v>7.14</v>
      </c>
      <c r="L634" s="64">
        <f t="shared" si="9"/>
        <v>811.17</v>
      </c>
    </row>
    <row r="635" spans="1:12" x14ac:dyDescent="0.25">
      <c r="A635" s="65">
        <v>1925</v>
      </c>
      <c r="B635" s="65" t="s">
        <v>229</v>
      </c>
      <c r="C635" s="65" t="s">
        <v>474</v>
      </c>
      <c r="D635" s="65">
        <v>0</v>
      </c>
      <c r="E635" s="65"/>
      <c r="F635" s="70">
        <v>-447.26</v>
      </c>
      <c r="G635" s="70">
        <v>-13.72</v>
      </c>
      <c r="H635" s="70">
        <v>-34.18</v>
      </c>
      <c r="I635" s="70">
        <v>-0.55000000000000004</v>
      </c>
      <c r="J635" s="70">
        <v>-26.45</v>
      </c>
      <c r="K635" s="70">
        <v>-7.3</v>
      </c>
      <c r="L635" s="64">
        <f t="shared" si="9"/>
        <v>447.26</v>
      </c>
    </row>
    <row r="636" spans="1:12" x14ac:dyDescent="0.25">
      <c r="A636" s="65">
        <v>1907</v>
      </c>
      <c r="B636" s="65" t="s">
        <v>229</v>
      </c>
      <c r="C636" s="65" t="s">
        <v>439</v>
      </c>
      <c r="D636" s="65">
        <v>4</v>
      </c>
      <c r="E636" s="65"/>
      <c r="F636" s="70">
        <v>-626.49</v>
      </c>
      <c r="G636" s="70">
        <v>-14.2</v>
      </c>
      <c r="H636" s="70">
        <v>-34.24</v>
      </c>
      <c r="I636" s="70">
        <v>-0.48</v>
      </c>
      <c r="J636" s="70">
        <v>-21.57</v>
      </c>
      <c r="K636" s="70">
        <v>7.62</v>
      </c>
      <c r="L636" s="64">
        <f t="shared" si="9"/>
        <v>626.49</v>
      </c>
    </row>
    <row r="637" spans="1:12" x14ac:dyDescent="0.25">
      <c r="A637" s="65">
        <v>2051</v>
      </c>
      <c r="B637" s="65" t="s">
        <v>229</v>
      </c>
      <c r="C637" s="65" t="s">
        <v>582</v>
      </c>
      <c r="D637" s="65">
        <v>0</v>
      </c>
      <c r="E637" s="65"/>
      <c r="F637" s="70">
        <v>223.29</v>
      </c>
      <c r="G637" s="70">
        <v>-9.89</v>
      </c>
      <c r="H637" s="70">
        <v>-34.270000000000003</v>
      </c>
      <c r="I637" s="70">
        <v>-0.69</v>
      </c>
      <c r="J637" s="70">
        <v>18.559999999999999</v>
      </c>
      <c r="K637" s="70">
        <v>-4.58</v>
      </c>
      <c r="L637" s="64">
        <f t="shared" si="9"/>
        <v>-223.29</v>
      </c>
    </row>
    <row r="638" spans="1:12" x14ac:dyDescent="0.25">
      <c r="A638" s="65">
        <v>1836</v>
      </c>
      <c r="B638" s="65" t="s">
        <v>229</v>
      </c>
      <c r="C638" s="65" t="s">
        <v>368</v>
      </c>
      <c r="D638" s="65">
        <v>0</v>
      </c>
      <c r="E638" s="65"/>
      <c r="F638" s="70">
        <v>-808.15</v>
      </c>
      <c r="G638" s="70">
        <v>-12.75</v>
      </c>
      <c r="H638" s="70">
        <v>-34.340000000000003</v>
      </c>
      <c r="I638" s="70">
        <v>-0.31</v>
      </c>
      <c r="J638" s="70">
        <v>-46.69</v>
      </c>
      <c r="K638" s="70">
        <v>-5.57</v>
      </c>
      <c r="L638" s="64">
        <f t="shared" si="9"/>
        <v>808.15</v>
      </c>
    </row>
    <row r="639" spans="1:12" x14ac:dyDescent="0.25">
      <c r="A639" s="65">
        <v>1976</v>
      </c>
      <c r="B639" s="65" t="s">
        <v>229</v>
      </c>
      <c r="C639" s="65" t="s">
        <v>504</v>
      </c>
      <c r="D639" s="65">
        <v>0</v>
      </c>
      <c r="E639" s="65"/>
      <c r="F639" s="70">
        <v>-624.29</v>
      </c>
      <c r="G639" s="70">
        <v>-14.22</v>
      </c>
      <c r="H639" s="70">
        <v>-34.51</v>
      </c>
      <c r="I639" s="70">
        <v>-0.48</v>
      </c>
      <c r="J639" s="70">
        <v>-32.53</v>
      </c>
      <c r="K639" s="70">
        <v>-6.44</v>
      </c>
      <c r="L639" s="64">
        <f t="shared" si="9"/>
        <v>624.29</v>
      </c>
    </row>
    <row r="640" spans="1:12" x14ac:dyDescent="0.25">
      <c r="A640" s="65">
        <v>2325</v>
      </c>
      <c r="B640" s="65" t="s">
        <v>229</v>
      </c>
      <c r="C640" s="65" t="s">
        <v>843</v>
      </c>
      <c r="D640" s="65">
        <v>4</v>
      </c>
      <c r="E640" s="65"/>
      <c r="F640" s="70">
        <v>-226.13</v>
      </c>
      <c r="G640" s="70">
        <v>-12.06</v>
      </c>
      <c r="H640" s="70">
        <v>-34.56</v>
      </c>
      <c r="I640" s="70">
        <v>-0.63</v>
      </c>
      <c r="J640" s="70">
        <v>-22.74</v>
      </c>
      <c r="K640" s="70">
        <v>6.4</v>
      </c>
      <c r="L640" s="64">
        <f t="shared" si="9"/>
        <v>226.13</v>
      </c>
    </row>
    <row r="641" spans="1:12" x14ac:dyDescent="0.25">
      <c r="A641" s="65">
        <v>1986</v>
      </c>
      <c r="B641" s="65" t="s">
        <v>229</v>
      </c>
      <c r="C641" s="65" t="s">
        <v>524</v>
      </c>
      <c r="D641" s="65">
        <v>0</v>
      </c>
      <c r="E641" s="65"/>
      <c r="F641" s="70">
        <v>535.91999999999996</v>
      </c>
      <c r="G641" s="70">
        <v>-7.52</v>
      </c>
      <c r="H641" s="70">
        <v>-34.58</v>
      </c>
      <c r="I641" s="70">
        <v>-0.74</v>
      </c>
      <c r="J641" s="70">
        <v>67.69</v>
      </c>
      <c r="K641" s="70">
        <v>-3.75</v>
      </c>
      <c r="L641" s="64">
        <f t="shared" si="9"/>
        <v>-535.91999999999996</v>
      </c>
    </row>
    <row r="642" spans="1:12" x14ac:dyDescent="0.25">
      <c r="A642" s="65">
        <v>2189</v>
      </c>
      <c r="B642" s="65" t="s">
        <v>229</v>
      </c>
      <c r="C642" s="65" t="s">
        <v>714</v>
      </c>
      <c r="D642" s="65">
        <v>0</v>
      </c>
      <c r="E642" s="65"/>
      <c r="F642" s="70">
        <v>222.97</v>
      </c>
      <c r="G642" s="70">
        <v>-9.89</v>
      </c>
      <c r="H642" s="70">
        <v>-34.729999999999997</v>
      </c>
      <c r="I642" s="70">
        <v>-0.69</v>
      </c>
      <c r="J642" s="70">
        <v>18.54</v>
      </c>
      <c r="K642" s="70">
        <v>-4.58</v>
      </c>
      <c r="L642" s="64">
        <f t="shared" si="9"/>
        <v>-222.97</v>
      </c>
    </row>
    <row r="643" spans="1:12" x14ac:dyDescent="0.25">
      <c r="A643" s="65">
        <v>30</v>
      </c>
      <c r="B643" s="65" t="s">
        <v>229</v>
      </c>
      <c r="C643" s="65" t="s">
        <v>251</v>
      </c>
      <c r="D643" s="65">
        <v>4</v>
      </c>
      <c r="E643" s="65"/>
      <c r="F643" s="70">
        <v>55.24</v>
      </c>
      <c r="G643" s="70">
        <v>-1.44</v>
      </c>
      <c r="H643" s="70">
        <v>-34.880000000000003</v>
      </c>
      <c r="I643" s="70">
        <v>-0.21</v>
      </c>
      <c r="J643" s="70">
        <v>19.989999999999998</v>
      </c>
      <c r="K643" s="70">
        <v>0.76</v>
      </c>
      <c r="L643" s="64">
        <f t="shared" ref="L643:L706" si="10">F643*-1</f>
        <v>-55.24</v>
      </c>
    </row>
    <row r="644" spans="1:12" x14ac:dyDescent="0.25">
      <c r="A644" s="65">
        <v>2388</v>
      </c>
      <c r="B644" s="65" t="s">
        <v>229</v>
      </c>
      <c r="C644" s="65" t="s">
        <v>896</v>
      </c>
      <c r="D644" s="65">
        <v>0</v>
      </c>
      <c r="E644" s="65"/>
      <c r="F644" s="70">
        <v>-809.3</v>
      </c>
      <c r="G644" s="70">
        <v>-12.96</v>
      </c>
      <c r="H644" s="70">
        <v>-34.92</v>
      </c>
      <c r="I644" s="70">
        <v>-0.31</v>
      </c>
      <c r="J644" s="70">
        <v>-47.32</v>
      </c>
      <c r="K644" s="70">
        <v>-5.67</v>
      </c>
      <c r="L644" s="64">
        <f t="shared" si="10"/>
        <v>809.3</v>
      </c>
    </row>
    <row r="645" spans="1:12" x14ac:dyDescent="0.25">
      <c r="A645" s="65">
        <v>2262</v>
      </c>
      <c r="B645" s="65" t="s">
        <v>229</v>
      </c>
      <c r="C645" s="65" t="s">
        <v>788</v>
      </c>
      <c r="D645" s="65">
        <v>0</v>
      </c>
      <c r="E645" s="65"/>
      <c r="F645" s="70">
        <v>535.91</v>
      </c>
      <c r="G645" s="70">
        <v>-7.52</v>
      </c>
      <c r="H645" s="70">
        <v>-35.24</v>
      </c>
      <c r="I645" s="70">
        <v>-0.74</v>
      </c>
      <c r="J645" s="70">
        <v>67.37</v>
      </c>
      <c r="K645" s="70">
        <v>-3.75</v>
      </c>
      <c r="L645" s="64">
        <f t="shared" si="10"/>
        <v>-535.91</v>
      </c>
    </row>
    <row r="646" spans="1:12" x14ac:dyDescent="0.25">
      <c r="A646" s="65">
        <v>2053</v>
      </c>
      <c r="B646" s="65" t="s">
        <v>229</v>
      </c>
      <c r="C646" s="65" t="s">
        <v>586</v>
      </c>
      <c r="D646" s="65">
        <v>0</v>
      </c>
      <c r="E646" s="65"/>
      <c r="F646" s="70">
        <v>444.12</v>
      </c>
      <c r="G646" s="70">
        <v>-8.35</v>
      </c>
      <c r="H646" s="70">
        <v>-35.25</v>
      </c>
      <c r="I646" s="70">
        <v>-0.72</v>
      </c>
      <c r="J646" s="70">
        <v>45.56</v>
      </c>
      <c r="K646" s="70">
        <v>-3.96</v>
      </c>
      <c r="L646" s="64">
        <f t="shared" si="10"/>
        <v>-444.12</v>
      </c>
    </row>
    <row r="647" spans="1:12" x14ac:dyDescent="0.25">
      <c r="A647" s="65">
        <v>2339</v>
      </c>
      <c r="B647" s="65" t="s">
        <v>229</v>
      </c>
      <c r="C647" s="65" t="s">
        <v>870</v>
      </c>
      <c r="D647" s="65">
        <v>0</v>
      </c>
      <c r="E647" s="65"/>
      <c r="F647" s="70">
        <v>-444.66</v>
      </c>
      <c r="G647" s="70">
        <v>-13.64</v>
      </c>
      <c r="H647" s="70">
        <v>-35.479999999999997</v>
      </c>
      <c r="I647" s="70">
        <v>-0.55000000000000004</v>
      </c>
      <c r="J647" s="70">
        <v>-27.29</v>
      </c>
      <c r="K647" s="70">
        <v>-7.27</v>
      </c>
      <c r="L647" s="64">
        <f t="shared" si="10"/>
        <v>444.66</v>
      </c>
    </row>
    <row r="648" spans="1:12" x14ac:dyDescent="0.25">
      <c r="A648" s="65">
        <v>2191</v>
      </c>
      <c r="B648" s="65" t="s">
        <v>229</v>
      </c>
      <c r="C648" s="65" t="s">
        <v>718</v>
      </c>
      <c r="D648" s="65">
        <v>0</v>
      </c>
      <c r="E648" s="65"/>
      <c r="F648" s="70">
        <v>444.11</v>
      </c>
      <c r="G648" s="70">
        <v>-8.34</v>
      </c>
      <c r="H648" s="70">
        <v>-35.61</v>
      </c>
      <c r="I648" s="70">
        <v>-0.72</v>
      </c>
      <c r="J648" s="70">
        <v>45.51</v>
      </c>
      <c r="K648" s="70">
        <v>-3.96</v>
      </c>
      <c r="L648" s="64">
        <f t="shared" si="10"/>
        <v>-444.11</v>
      </c>
    </row>
    <row r="649" spans="1:12" x14ac:dyDescent="0.25">
      <c r="A649" s="65">
        <v>29</v>
      </c>
      <c r="B649" s="65" t="s">
        <v>229</v>
      </c>
      <c r="C649" s="65" t="s">
        <v>248</v>
      </c>
      <c r="D649" s="65">
        <v>0</v>
      </c>
      <c r="E649" s="65"/>
      <c r="F649" s="70">
        <v>-118.97</v>
      </c>
      <c r="G649" s="70">
        <v>-1.6</v>
      </c>
      <c r="H649" s="70">
        <v>-35.700000000000003</v>
      </c>
      <c r="I649" s="70">
        <v>-0.19</v>
      </c>
      <c r="J649" s="70">
        <v>-20.57</v>
      </c>
      <c r="K649" s="70">
        <v>-0.74</v>
      </c>
      <c r="L649" s="64">
        <f t="shared" si="10"/>
        <v>118.97</v>
      </c>
    </row>
    <row r="650" spans="1:12" x14ac:dyDescent="0.25">
      <c r="A650" s="65">
        <v>2052</v>
      </c>
      <c r="B650" s="65" t="s">
        <v>229</v>
      </c>
      <c r="C650" s="65" t="s">
        <v>584</v>
      </c>
      <c r="D650" s="65">
        <v>0</v>
      </c>
      <c r="E650" s="65"/>
      <c r="F650" s="70">
        <v>344.21</v>
      </c>
      <c r="G650" s="70">
        <v>-8.99</v>
      </c>
      <c r="H650" s="70">
        <v>-35.700000000000003</v>
      </c>
      <c r="I650" s="70">
        <v>-0.72</v>
      </c>
      <c r="J650" s="70">
        <v>31.86</v>
      </c>
      <c r="K650" s="70">
        <v>-4.2</v>
      </c>
      <c r="L650" s="64">
        <f t="shared" si="10"/>
        <v>-344.21</v>
      </c>
    </row>
    <row r="651" spans="1:12" x14ac:dyDescent="0.25">
      <c r="A651" s="65">
        <v>2252</v>
      </c>
      <c r="B651" s="65" t="s">
        <v>229</v>
      </c>
      <c r="C651" s="65" t="s">
        <v>768</v>
      </c>
      <c r="D651" s="65">
        <v>0</v>
      </c>
      <c r="E651" s="65"/>
      <c r="F651" s="70">
        <v>-625.30999999999995</v>
      </c>
      <c r="G651" s="70">
        <v>-14.31</v>
      </c>
      <c r="H651" s="70">
        <v>-35.700000000000003</v>
      </c>
      <c r="I651" s="70">
        <v>-0.48</v>
      </c>
      <c r="J651" s="70">
        <v>-33.29</v>
      </c>
      <c r="K651" s="70">
        <v>-6.48</v>
      </c>
      <c r="L651" s="64">
        <f t="shared" si="10"/>
        <v>625.30999999999995</v>
      </c>
    </row>
    <row r="652" spans="1:12" x14ac:dyDescent="0.25">
      <c r="A652" s="65">
        <v>1766</v>
      </c>
      <c r="B652" s="65" t="s">
        <v>229</v>
      </c>
      <c r="C652" s="65" t="s">
        <v>300</v>
      </c>
      <c r="D652" s="65">
        <v>0</v>
      </c>
      <c r="E652" s="65"/>
      <c r="F652" s="70">
        <v>-865.54</v>
      </c>
      <c r="G652" s="70">
        <v>-11.21</v>
      </c>
      <c r="H652" s="70">
        <v>-35.729999999999997</v>
      </c>
      <c r="I652" s="70">
        <v>-0.21</v>
      </c>
      <c r="J652" s="70">
        <v>-59.92</v>
      </c>
      <c r="K652" s="70">
        <v>-4.93</v>
      </c>
      <c r="L652" s="64">
        <f t="shared" si="10"/>
        <v>865.54</v>
      </c>
    </row>
    <row r="653" spans="1:12" x14ac:dyDescent="0.25">
      <c r="A653" s="65">
        <v>1984</v>
      </c>
      <c r="B653" s="65" t="s">
        <v>229</v>
      </c>
      <c r="C653" s="65" t="s">
        <v>521</v>
      </c>
      <c r="D653" s="65">
        <v>4</v>
      </c>
      <c r="E653" s="65"/>
      <c r="F653" s="70">
        <v>444.86</v>
      </c>
      <c r="G653" s="70">
        <v>-8.35</v>
      </c>
      <c r="H653" s="70">
        <v>-35.82</v>
      </c>
      <c r="I653" s="70">
        <v>-0.72</v>
      </c>
      <c r="J653" s="70">
        <v>60.04</v>
      </c>
      <c r="K653" s="70">
        <v>4.3</v>
      </c>
      <c r="L653" s="64">
        <f t="shared" si="10"/>
        <v>-444.86</v>
      </c>
    </row>
    <row r="654" spans="1:12" x14ac:dyDescent="0.25">
      <c r="A654" s="65">
        <v>1983</v>
      </c>
      <c r="B654" s="65" t="s">
        <v>229</v>
      </c>
      <c r="C654" s="65" t="s">
        <v>519</v>
      </c>
      <c r="D654" s="65">
        <v>4</v>
      </c>
      <c r="E654" s="65"/>
      <c r="F654" s="70">
        <v>345.33</v>
      </c>
      <c r="G654" s="70">
        <v>-8.99</v>
      </c>
      <c r="H654" s="70">
        <v>-35.86</v>
      </c>
      <c r="I654" s="70">
        <v>-0.72</v>
      </c>
      <c r="J654" s="70">
        <v>48.91</v>
      </c>
      <c r="K654" s="70">
        <v>4.6900000000000004</v>
      </c>
      <c r="L654" s="64">
        <f t="shared" si="10"/>
        <v>-345.33</v>
      </c>
    </row>
    <row r="655" spans="1:12" x14ac:dyDescent="0.25">
      <c r="A655" s="65">
        <v>2321</v>
      </c>
      <c r="B655" s="65" t="s">
        <v>229</v>
      </c>
      <c r="C655" s="65" t="s">
        <v>835</v>
      </c>
      <c r="D655" s="65">
        <v>4</v>
      </c>
      <c r="E655" s="65"/>
      <c r="F655" s="70">
        <v>-627.86</v>
      </c>
      <c r="G655" s="70">
        <v>-14.32</v>
      </c>
      <c r="H655" s="70">
        <v>-35.909999999999997</v>
      </c>
      <c r="I655" s="70">
        <v>-0.48</v>
      </c>
      <c r="J655" s="70">
        <v>-20.73</v>
      </c>
      <c r="K655" s="70">
        <v>7.68</v>
      </c>
      <c r="L655" s="64">
        <f t="shared" si="10"/>
        <v>627.86</v>
      </c>
    </row>
    <row r="656" spans="1:12" x14ac:dyDescent="0.25">
      <c r="A656" s="65">
        <v>2190</v>
      </c>
      <c r="B656" s="65" t="s">
        <v>229</v>
      </c>
      <c r="C656" s="65" t="s">
        <v>716</v>
      </c>
      <c r="D656" s="65">
        <v>0</v>
      </c>
      <c r="E656" s="65"/>
      <c r="F656" s="70">
        <v>344.19</v>
      </c>
      <c r="G656" s="70">
        <v>-8.98</v>
      </c>
      <c r="H656" s="70">
        <v>-36.08</v>
      </c>
      <c r="I656" s="70">
        <v>-0.72</v>
      </c>
      <c r="J656" s="70">
        <v>31.83</v>
      </c>
      <c r="K656" s="70">
        <v>-4.2</v>
      </c>
      <c r="L656" s="64">
        <f t="shared" si="10"/>
        <v>-344.19</v>
      </c>
    </row>
    <row r="657" spans="1:12" x14ac:dyDescent="0.25">
      <c r="A657" s="65">
        <v>2456</v>
      </c>
      <c r="B657" s="65" t="s">
        <v>229</v>
      </c>
      <c r="C657" s="65" t="s">
        <v>960</v>
      </c>
      <c r="D657" s="65">
        <v>0</v>
      </c>
      <c r="E657" s="65"/>
      <c r="F657" s="70">
        <v>-866.63</v>
      </c>
      <c r="G657" s="70">
        <v>-11.38</v>
      </c>
      <c r="H657" s="70">
        <v>-36.119999999999997</v>
      </c>
      <c r="I657" s="70">
        <v>-0.22</v>
      </c>
      <c r="J657" s="70">
        <v>-60.35</v>
      </c>
      <c r="K657" s="70">
        <v>-5</v>
      </c>
      <c r="L657" s="64">
        <f t="shared" si="10"/>
        <v>866.63</v>
      </c>
    </row>
    <row r="658" spans="1:12" x14ac:dyDescent="0.25">
      <c r="A658" s="65">
        <v>2533</v>
      </c>
      <c r="B658" s="65" t="s">
        <v>229</v>
      </c>
      <c r="C658" s="65" t="s">
        <v>1043</v>
      </c>
      <c r="D658" s="65">
        <v>4</v>
      </c>
      <c r="E658" s="65"/>
      <c r="F658" s="70">
        <v>55.23</v>
      </c>
      <c r="G658" s="70">
        <v>-1.44</v>
      </c>
      <c r="H658" s="70">
        <v>-36.15</v>
      </c>
      <c r="I658" s="70">
        <v>-0.21</v>
      </c>
      <c r="J658" s="70">
        <v>20.56</v>
      </c>
      <c r="K658" s="70">
        <v>0.76</v>
      </c>
      <c r="L658" s="64">
        <f t="shared" si="10"/>
        <v>-55.23</v>
      </c>
    </row>
    <row r="659" spans="1:12" x14ac:dyDescent="0.25">
      <c r="A659" s="65">
        <v>2260</v>
      </c>
      <c r="B659" s="65" t="s">
        <v>229</v>
      </c>
      <c r="C659" s="65" t="s">
        <v>785</v>
      </c>
      <c r="D659" s="65">
        <v>4</v>
      </c>
      <c r="E659" s="65"/>
      <c r="F659" s="70">
        <v>444.84</v>
      </c>
      <c r="G659" s="70">
        <v>-8.34</v>
      </c>
      <c r="H659" s="70">
        <v>-36.58</v>
      </c>
      <c r="I659" s="70">
        <v>-0.72</v>
      </c>
      <c r="J659" s="70">
        <v>60.37</v>
      </c>
      <c r="K659" s="70">
        <v>4.3</v>
      </c>
      <c r="L659" s="64">
        <f t="shared" si="10"/>
        <v>-444.84</v>
      </c>
    </row>
    <row r="660" spans="1:12" x14ac:dyDescent="0.25">
      <c r="A660" s="65">
        <v>2259</v>
      </c>
      <c r="B660" s="65" t="s">
        <v>229</v>
      </c>
      <c r="C660" s="65" t="s">
        <v>783</v>
      </c>
      <c r="D660" s="65">
        <v>4</v>
      </c>
      <c r="E660" s="65"/>
      <c r="F660" s="70">
        <v>345.3</v>
      </c>
      <c r="G660" s="70">
        <v>-8.98</v>
      </c>
      <c r="H660" s="70">
        <v>-36.659999999999997</v>
      </c>
      <c r="I660" s="70">
        <v>-0.72</v>
      </c>
      <c r="J660" s="70">
        <v>49.13</v>
      </c>
      <c r="K660" s="70">
        <v>4.6900000000000004</v>
      </c>
      <c r="L660" s="64">
        <f t="shared" si="10"/>
        <v>-345.3</v>
      </c>
    </row>
    <row r="661" spans="1:12" x14ac:dyDescent="0.25">
      <c r="A661" s="65">
        <v>2532</v>
      </c>
      <c r="B661" s="65" t="s">
        <v>229</v>
      </c>
      <c r="C661" s="65" t="s">
        <v>1040</v>
      </c>
      <c r="D661" s="65">
        <v>0</v>
      </c>
      <c r="E661" s="65"/>
      <c r="F661" s="70">
        <v>-121.01</v>
      </c>
      <c r="G661" s="70">
        <v>-1.61</v>
      </c>
      <c r="H661" s="70">
        <v>-36.979999999999997</v>
      </c>
      <c r="I661" s="70">
        <v>-0.19</v>
      </c>
      <c r="J661" s="70">
        <v>-21.35</v>
      </c>
      <c r="K661" s="70">
        <v>-0.74</v>
      </c>
      <c r="L661" s="64">
        <f t="shared" si="10"/>
        <v>121.01</v>
      </c>
    </row>
    <row r="662" spans="1:12" x14ac:dyDescent="0.25">
      <c r="A662" s="65">
        <v>1910</v>
      </c>
      <c r="B662" s="65" t="s">
        <v>229</v>
      </c>
      <c r="C662" s="65" t="s">
        <v>444</v>
      </c>
      <c r="D662" s="65">
        <v>0</v>
      </c>
      <c r="E662" s="65"/>
      <c r="F662" s="70">
        <v>-343.78</v>
      </c>
      <c r="G662" s="70">
        <v>-12.96</v>
      </c>
      <c r="H662" s="70">
        <v>-37.18</v>
      </c>
      <c r="I662" s="70">
        <v>-0.59</v>
      </c>
      <c r="J662" s="70">
        <v>-27.48</v>
      </c>
      <c r="K662" s="70">
        <v>-5.93</v>
      </c>
      <c r="L662" s="64">
        <f t="shared" si="10"/>
        <v>343.78</v>
      </c>
    </row>
    <row r="663" spans="1:12" x14ac:dyDescent="0.25">
      <c r="A663" s="65">
        <v>1839</v>
      </c>
      <c r="B663" s="65" t="s">
        <v>229</v>
      </c>
      <c r="C663" s="65" t="s">
        <v>374</v>
      </c>
      <c r="D663" s="65">
        <v>0</v>
      </c>
      <c r="E663" s="65"/>
      <c r="F663" s="70">
        <v>-548.5</v>
      </c>
      <c r="G663" s="70">
        <v>-14.1</v>
      </c>
      <c r="H663" s="70">
        <v>-37.79</v>
      </c>
      <c r="I663" s="70">
        <v>-0.51</v>
      </c>
      <c r="J663" s="70">
        <v>-25.86</v>
      </c>
      <c r="K663" s="70">
        <v>-6.42</v>
      </c>
      <c r="L663" s="64">
        <f t="shared" si="10"/>
        <v>548.5</v>
      </c>
    </row>
    <row r="664" spans="1:12" x14ac:dyDescent="0.25">
      <c r="A664" s="65">
        <v>1768</v>
      </c>
      <c r="B664" s="65" t="s">
        <v>229</v>
      </c>
      <c r="C664" s="65" t="s">
        <v>305</v>
      </c>
      <c r="D664" s="65">
        <v>4</v>
      </c>
      <c r="E664" s="65"/>
      <c r="F664" s="70">
        <v>-732.79</v>
      </c>
      <c r="G664" s="70">
        <v>-13.75</v>
      </c>
      <c r="H664" s="70">
        <v>-38</v>
      </c>
      <c r="I664" s="70">
        <v>-0.41</v>
      </c>
      <c r="J664" s="70">
        <v>-39.979999999999997</v>
      </c>
      <c r="K664" s="70">
        <v>7.47</v>
      </c>
      <c r="L664" s="64">
        <f t="shared" si="10"/>
        <v>732.79</v>
      </c>
    </row>
    <row r="665" spans="1:12" x14ac:dyDescent="0.25">
      <c r="A665" s="65">
        <v>1981</v>
      </c>
      <c r="B665" s="65" t="s">
        <v>229</v>
      </c>
      <c r="C665" s="65" t="s">
        <v>514</v>
      </c>
      <c r="D665" s="65">
        <v>0</v>
      </c>
      <c r="E665" s="65"/>
      <c r="F665" s="70">
        <v>107.75</v>
      </c>
      <c r="G665" s="70">
        <v>-10.79</v>
      </c>
      <c r="H665" s="70">
        <v>-38.04</v>
      </c>
      <c r="I665" s="70">
        <v>-0.67</v>
      </c>
      <c r="J665" s="70">
        <v>-18.88</v>
      </c>
      <c r="K665" s="70">
        <v>-4.97</v>
      </c>
      <c r="L665" s="64">
        <f t="shared" si="10"/>
        <v>-107.75</v>
      </c>
    </row>
    <row r="666" spans="1:12" x14ac:dyDescent="0.25">
      <c r="A666" s="65">
        <v>31</v>
      </c>
      <c r="B666" s="65" t="s">
        <v>229</v>
      </c>
      <c r="C666" s="65" t="s">
        <v>253</v>
      </c>
      <c r="D666" s="65">
        <v>4</v>
      </c>
      <c r="E666" s="65"/>
      <c r="F666" s="70">
        <v>113.84</v>
      </c>
      <c r="G666" s="70">
        <v>-1.32</v>
      </c>
      <c r="H666" s="70">
        <v>-38.299999999999997</v>
      </c>
      <c r="I666" s="70">
        <v>-0.21</v>
      </c>
      <c r="J666" s="70">
        <v>26.37</v>
      </c>
      <c r="K666" s="70">
        <v>0.69</v>
      </c>
      <c r="L666" s="64">
        <f t="shared" si="10"/>
        <v>-113.84</v>
      </c>
    </row>
    <row r="667" spans="1:12" x14ac:dyDescent="0.25">
      <c r="A667" s="65">
        <v>2324</v>
      </c>
      <c r="B667" s="65" t="s">
        <v>229</v>
      </c>
      <c r="C667" s="65" t="s">
        <v>840</v>
      </c>
      <c r="D667" s="65">
        <v>0</v>
      </c>
      <c r="E667" s="65"/>
      <c r="F667" s="70">
        <v>-346.94</v>
      </c>
      <c r="G667" s="70">
        <v>-13.01</v>
      </c>
      <c r="H667" s="70">
        <v>-38.5</v>
      </c>
      <c r="I667" s="70">
        <v>-0.59</v>
      </c>
      <c r="J667" s="70">
        <v>-28.4</v>
      </c>
      <c r="K667" s="70">
        <v>-5.95</v>
      </c>
      <c r="L667" s="64">
        <f t="shared" si="10"/>
        <v>346.94</v>
      </c>
    </row>
    <row r="668" spans="1:12" x14ac:dyDescent="0.25">
      <c r="A668" s="65">
        <v>1837</v>
      </c>
      <c r="B668" s="65" t="s">
        <v>229</v>
      </c>
      <c r="C668" s="65" t="s">
        <v>370</v>
      </c>
      <c r="D668" s="65">
        <v>0</v>
      </c>
      <c r="E668" s="65"/>
      <c r="F668" s="70">
        <v>-730.83</v>
      </c>
      <c r="G668" s="70">
        <v>-13.76</v>
      </c>
      <c r="H668" s="70">
        <v>-38.56</v>
      </c>
      <c r="I668" s="70">
        <v>-0.41</v>
      </c>
      <c r="J668" s="70">
        <v>-41.5</v>
      </c>
      <c r="K668" s="70">
        <v>-6.12</v>
      </c>
      <c r="L668" s="64">
        <f t="shared" si="10"/>
        <v>730.83</v>
      </c>
    </row>
    <row r="669" spans="1:12" x14ac:dyDescent="0.25">
      <c r="A669" s="65">
        <v>34</v>
      </c>
      <c r="B669" s="65" t="s">
        <v>229</v>
      </c>
      <c r="C669" s="65" t="s">
        <v>259</v>
      </c>
      <c r="D669" s="65">
        <v>4</v>
      </c>
      <c r="E669" s="65"/>
      <c r="F669" s="70">
        <v>259.51</v>
      </c>
      <c r="G669" s="70">
        <v>-1.04</v>
      </c>
      <c r="H669" s="70">
        <v>-38.81</v>
      </c>
      <c r="I669" s="70">
        <v>-0.23</v>
      </c>
      <c r="J669" s="70">
        <v>43.92</v>
      </c>
      <c r="K669" s="70">
        <v>0.53</v>
      </c>
      <c r="L669" s="64">
        <f t="shared" si="10"/>
        <v>-259.51</v>
      </c>
    </row>
    <row r="670" spans="1:12" x14ac:dyDescent="0.25">
      <c r="A670" s="65">
        <v>2257</v>
      </c>
      <c r="B670" s="65" t="s">
        <v>229</v>
      </c>
      <c r="C670" s="65" t="s">
        <v>778</v>
      </c>
      <c r="D670" s="65">
        <v>0</v>
      </c>
      <c r="E670" s="65"/>
      <c r="F670" s="70">
        <v>107.82</v>
      </c>
      <c r="G670" s="70">
        <v>-10.8</v>
      </c>
      <c r="H670" s="70">
        <v>-39.049999999999997</v>
      </c>
      <c r="I670" s="70">
        <v>-0.67</v>
      </c>
      <c r="J670" s="70">
        <v>-19.48</v>
      </c>
      <c r="K670" s="70">
        <v>-4.97</v>
      </c>
      <c r="L670" s="64">
        <f t="shared" si="10"/>
        <v>-107.82</v>
      </c>
    </row>
    <row r="671" spans="1:12" x14ac:dyDescent="0.25">
      <c r="A671" s="65">
        <v>2458</v>
      </c>
      <c r="B671" s="65" t="s">
        <v>229</v>
      </c>
      <c r="C671" s="65" t="s">
        <v>965</v>
      </c>
      <c r="D671" s="65">
        <v>4</v>
      </c>
      <c r="E671" s="65"/>
      <c r="F671" s="70">
        <v>-734.22</v>
      </c>
      <c r="G671" s="70">
        <v>-13.98</v>
      </c>
      <c r="H671" s="70">
        <v>-39.299999999999997</v>
      </c>
      <c r="I671" s="70">
        <v>-0.41</v>
      </c>
      <c r="J671" s="70">
        <v>-38.880000000000003</v>
      </c>
      <c r="K671" s="70">
        <v>7.59</v>
      </c>
      <c r="L671" s="64">
        <f t="shared" si="10"/>
        <v>734.22</v>
      </c>
    </row>
    <row r="672" spans="1:12" x14ac:dyDescent="0.25">
      <c r="A672" s="65">
        <v>30</v>
      </c>
      <c r="B672" s="65" t="s">
        <v>229</v>
      </c>
      <c r="C672" s="65" t="s">
        <v>250</v>
      </c>
      <c r="D672" s="65">
        <v>0</v>
      </c>
      <c r="E672" s="65"/>
      <c r="F672" s="70">
        <v>54.3</v>
      </c>
      <c r="G672" s="70">
        <v>-1.44</v>
      </c>
      <c r="H672" s="70">
        <v>-39.4</v>
      </c>
      <c r="I672" s="70">
        <v>-0.21</v>
      </c>
      <c r="J672" s="70">
        <v>-19.170000000000002</v>
      </c>
      <c r="K672" s="70">
        <v>-0.66</v>
      </c>
      <c r="L672" s="64">
        <f t="shared" si="10"/>
        <v>-54.3</v>
      </c>
    </row>
    <row r="673" spans="1:12" x14ac:dyDescent="0.25">
      <c r="A673" s="65">
        <v>1857</v>
      </c>
      <c r="B673" s="65" t="s">
        <v>229</v>
      </c>
      <c r="C673" s="65" t="s">
        <v>410</v>
      </c>
      <c r="D673" s="65">
        <v>0</v>
      </c>
      <c r="E673" s="65"/>
      <c r="F673" s="70">
        <v>-547.03</v>
      </c>
      <c r="G673" s="70">
        <v>-14.2</v>
      </c>
      <c r="H673" s="70">
        <v>-39.47</v>
      </c>
      <c r="I673" s="70">
        <v>-0.51</v>
      </c>
      <c r="J673" s="70">
        <v>-27.12</v>
      </c>
      <c r="K673" s="70">
        <v>-7.58</v>
      </c>
      <c r="L673" s="64">
        <f t="shared" si="10"/>
        <v>547.03</v>
      </c>
    </row>
    <row r="674" spans="1:12" x14ac:dyDescent="0.25">
      <c r="A674" s="65">
        <v>2534</v>
      </c>
      <c r="B674" s="65" t="s">
        <v>229</v>
      </c>
      <c r="C674" s="65" t="s">
        <v>1045</v>
      </c>
      <c r="D674" s="65">
        <v>4</v>
      </c>
      <c r="E674" s="65"/>
      <c r="F674" s="70">
        <v>113.75</v>
      </c>
      <c r="G674" s="70">
        <v>-1.32</v>
      </c>
      <c r="H674" s="70">
        <v>-39.53</v>
      </c>
      <c r="I674" s="70">
        <v>-0.21</v>
      </c>
      <c r="J674" s="70">
        <v>26.95</v>
      </c>
      <c r="K674" s="70">
        <v>0.7</v>
      </c>
      <c r="L674" s="64">
        <f t="shared" si="10"/>
        <v>-113.75</v>
      </c>
    </row>
    <row r="675" spans="1:12" x14ac:dyDescent="0.25">
      <c r="A675" s="65">
        <v>1912</v>
      </c>
      <c r="B675" s="65" t="s">
        <v>229</v>
      </c>
      <c r="C675" s="65" t="s">
        <v>449</v>
      </c>
      <c r="D675" s="65">
        <v>4</v>
      </c>
      <c r="E675" s="65"/>
      <c r="F675" s="70">
        <v>109.86</v>
      </c>
      <c r="G675" s="70">
        <v>-10.79</v>
      </c>
      <c r="H675" s="70">
        <v>-39.58</v>
      </c>
      <c r="I675" s="70">
        <v>-0.67</v>
      </c>
      <c r="J675" s="70">
        <v>26.35</v>
      </c>
      <c r="K675" s="70">
        <v>5.71</v>
      </c>
      <c r="L675" s="64">
        <f t="shared" si="10"/>
        <v>-109.86</v>
      </c>
    </row>
    <row r="676" spans="1:12" x14ac:dyDescent="0.25">
      <c r="A676" s="65">
        <v>2389</v>
      </c>
      <c r="B676" s="65" t="s">
        <v>229</v>
      </c>
      <c r="C676" s="65" t="s">
        <v>898</v>
      </c>
      <c r="D676" s="65">
        <v>0</v>
      </c>
      <c r="E676" s="65"/>
      <c r="F676" s="70">
        <v>-731.9</v>
      </c>
      <c r="G676" s="70">
        <v>-13.97</v>
      </c>
      <c r="H676" s="70">
        <v>-39.58</v>
      </c>
      <c r="I676" s="70">
        <v>-0.41</v>
      </c>
      <c r="J676" s="70">
        <v>-42.44</v>
      </c>
      <c r="K676" s="70">
        <v>-6.22</v>
      </c>
      <c r="L676" s="64">
        <f t="shared" si="10"/>
        <v>731.9</v>
      </c>
    </row>
    <row r="677" spans="1:12" x14ac:dyDescent="0.25">
      <c r="A677" s="65">
        <v>1767</v>
      </c>
      <c r="B677" s="65" t="s">
        <v>229</v>
      </c>
      <c r="C677" s="65" t="s">
        <v>302</v>
      </c>
      <c r="D677" s="65">
        <v>0</v>
      </c>
      <c r="E677" s="65"/>
      <c r="F677" s="70">
        <v>-816.45</v>
      </c>
      <c r="G677" s="70">
        <v>-12.74</v>
      </c>
      <c r="H677" s="70">
        <v>-39.619999999999997</v>
      </c>
      <c r="I677" s="70">
        <v>-0.31</v>
      </c>
      <c r="J677" s="70">
        <v>-49.14</v>
      </c>
      <c r="K677" s="70">
        <v>-5.57</v>
      </c>
      <c r="L677" s="64">
        <f t="shared" si="10"/>
        <v>816.45</v>
      </c>
    </row>
    <row r="678" spans="1:12" x14ac:dyDescent="0.25">
      <c r="A678" s="65">
        <v>2391</v>
      </c>
      <c r="B678" s="65" t="s">
        <v>229</v>
      </c>
      <c r="C678" s="65" t="s">
        <v>902</v>
      </c>
      <c r="D678" s="65">
        <v>0</v>
      </c>
      <c r="E678" s="65"/>
      <c r="F678" s="70">
        <v>-550.95000000000005</v>
      </c>
      <c r="G678" s="70">
        <v>-14.22</v>
      </c>
      <c r="H678" s="70">
        <v>-39.71</v>
      </c>
      <c r="I678" s="70">
        <v>-0.51</v>
      </c>
      <c r="J678" s="70">
        <v>-26.84</v>
      </c>
      <c r="K678" s="70">
        <v>-6.48</v>
      </c>
      <c r="L678" s="64">
        <f t="shared" si="10"/>
        <v>550.95000000000005</v>
      </c>
    </row>
    <row r="679" spans="1:12" x14ac:dyDescent="0.25">
      <c r="A679" s="65">
        <v>2537</v>
      </c>
      <c r="B679" s="65" t="s">
        <v>229</v>
      </c>
      <c r="C679" s="65" t="s">
        <v>1051</v>
      </c>
      <c r="D679" s="65">
        <v>4</v>
      </c>
      <c r="E679" s="65"/>
      <c r="F679" s="70">
        <v>259.5</v>
      </c>
      <c r="G679" s="70">
        <v>-1.04</v>
      </c>
      <c r="H679" s="70">
        <v>-39.86</v>
      </c>
      <c r="I679" s="70">
        <v>-0.23</v>
      </c>
      <c r="J679" s="70">
        <v>44.42</v>
      </c>
      <c r="K679" s="70">
        <v>0.53</v>
      </c>
      <c r="L679" s="64">
        <f t="shared" si="10"/>
        <v>-259.5</v>
      </c>
    </row>
    <row r="680" spans="1:12" x14ac:dyDescent="0.25">
      <c r="A680" s="65">
        <v>1840</v>
      </c>
      <c r="B680" s="65" t="s">
        <v>229</v>
      </c>
      <c r="C680" s="65" t="s">
        <v>376</v>
      </c>
      <c r="D680" s="65">
        <v>0</v>
      </c>
      <c r="E680" s="65"/>
      <c r="F680" s="70">
        <v>-453.32</v>
      </c>
      <c r="G680" s="70">
        <v>-13.61</v>
      </c>
      <c r="H680" s="70">
        <v>-40.049999999999997</v>
      </c>
      <c r="I680" s="70">
        <v>-0.55000000000000004</v>
      </c>
      <c r="J680" s="70">
        <v>-28.41</v>
      </c>
      <c r="K680" s="70">
        <v>-6.22</v>
      </c>
      <c r="L680" s="64">
        <f t="shared" si="10"/>
        <v>453.32</v>
      </c>
    </row>
    <row r="681" spans="1:12" x14ac:dyDescent="0.25">
      <c r="A681" s="65">
        <v>1985</v>
      </c>
      <c r="B681" s="65" t="s">
        <v>229</v>
      </c>
      <c r="C681" s="65" t="s">
        <v>522</v>
      </c>
      <c r="D681" s="65">
        <v>0</v>
      </c>
      <c r="E681" s="65"/>
      <c r="F681" s="70">
        <v>510.73</v>
      </c>
      <c r="G681" s="70">
        <v>-7.79</v>
      </c>
      <c r="H681" s="70">
        <v>-40.1</v>
      </c>
      <c r="I681" s="70">
        <v>-0.74</v>
      </c>
      <c r="J681" s="70">
        <v>61.58</v>
      </c>
      <c r="K681" s="70">
        <v>-3.76</v>
      </c>
      <c r="L681" s="64">
        <f t="shared" si="10"/>
        <v>-510.73</v>
      </c>
    </row>
    <row r="682" spans="1:12" x14ac:dyDescent="0.25">
      <c r="A682" s="65">
        <v>35</v>
      </c>
      <c r="B682" s="65" t="s">
        <v>229</v>
      </c>
      <c r="C682" s="65" t="s">
        <v>260</v>
      </c>
      <c r="D682" s="65">
        <v>0</v>
      </c>
      <c r="E682" s="65"/>
      <c r="F682" s="70">
        <v>271.56</v>
      </c>
      <c r="G682" s="70">
        <v>-1</v>
      </c>
      <c r="H682" s="70">
        <v>-40.35</v>
      </c>
      <c r="I682" s="70">
        <v>-0.23</v>
      </c>
      <c r="J682" s="70">
        <v>44.73</v>
      </c>
      <c r="K682" s="70">
        <v>-0.5</v>
      </c>
      <c r="L682" s="64">
        <f t="shared" si="10"/>
        <v>-271.56</v>
      </c>
    </row>
    <row r="683" spans="1:12" x14ac:dyDescent="0.25">
      <c r="A683" s="65">
        <v>2457</v>
      </c>
      <c r="B683" s="65" t="s">
        <v>229</v>
      </c>
      <c r="C683" s="65" t="s">
        <v>962</v>
      </c>
      <c r="D683" s="65">
        <v>0</v>
      </c>
      <c r="E683" s="65"/>
      <c r="F683" s="70">
        <v>-817.9</v>
      </c>
      <c r="G683" s="70">
        <v>-12.97</v>
      </c>
      <c r="H683" s="70">
        <v>-40.380000000000003</v>
      </c>
      <c r="I683" s="70">
        <v>-0.31</v>
      </c>
      <c r="J683" s="70">
        <v>-49.82</v>
      </c>
      <c r="K683" s="70">
        <v>-5.67</v>
      </c>
      <c r="L683" s="64">
        <f t="shared" si="10"/>
        <v>817.9</v>
      </c>
    </row>
    <row r="684" spans="1:12" x14ac:dyDescent="0.25">
      <c r="A684" s="65">
        <v>2533</v>
      </c>
      <c r="B684" s="65" t="s">
        <v>229</v>
      </c>
      <c r="C684" s="65" t="s">
        <v>1042</v>
      </c>
      <c r="D684" s="65">
        <v>0</v>
      </c>
      <c r="E684" s="65"/>
      <c r="F684" s="70">
        <v>54.29</v>
      </c>
      <c r="G684" s="70">
        <v>-1.44</v>
      </c>
      <c r="H684" s="70">
        <v>-40.67</v>
      </c>
      <c r="I684" s="70">
        <v>-0.21</v>
      </c>
      <c r="J684" s="70">
        <v>-19.940000000000001</v>
      </c>
      <c r="K684" s="70">
        <v>-0.66</v>
      </c>
      <c r="L684" s="64">
        <f t="shared" si="10"/>
        <v>-54.29</v>
      </c>
    </row>
    <row r="685" spans="1:12" x14ac:dyDescent="0.25">
      <c r="A685" s="65">
        <v>32</v>
      </c>
      <c r="B685" s="65" t="s">
        <v>229</v>
      </c>
      <c r="C685" s="65" t="s">
        <v>255</v>
      </c>
      <c r="D685" s="65">
        <v>4</v>
      </c>
      <c r="E685" s="65"/>
      <c r="F685" s="70">
        <v>173.85</v>
      </c>
      <c r="G685" s="70">
        <v>-1.2</v>
      </c>
      <c r="H685" s="70">
        <v>-40.700000000000003</v>
      </c>
      <c r="I685" s="70">
        <v>-0.22</v>
      </c>
      <c r="J685" s="70">
        <v>33.159999999999997</v>
      </c>
      <c r="K685" s="70">
        <v>0.63</v>
      </c>
      <c r="L685" s="64">
        <f t="shared" si="10"/>
        <v>-173.85</v>
      </c>
    </row>
    <row r="686" spans="1:12" x14ac:dyDescent="0.25">
      <c r="A686" s="65">
        <v>2261</v>
      </c>
      <c r="B686" s="65" t="s">
        <v>229</v>
      </c>
      <c r="C686" s="65" t="s">
        <v>786</v>
      </c>
      <c r="D686" s="65">
        <v>0</v>
      </c>
      <c r="E686" s="65"/>
      <c r="F686" s="70">
        <v>510.72</v>
      </c>
      <c r="G686" s="70">
        <v>-7.78</v>
      </c>
      <c r="H686" s="70">
        <v>-40.82</v>
      </c>
      <c r="I686" s="70">
        <v>-0.74</v>
      </c>
      <c r="J686" s="70">
        <v>61.29</v>
      </c>
      <c r="K686" s="70">
        <v>-3.75</v>
      </c>
      <c r="L686" s="64">
        <f t="shared" si="10"/>
        <v>-510.72</v>
      </c>
    </row>
    <row r="687" spans="1:12" x14ac:dyDescent="0.25">
      <c r="A687" s="65">
        <v>33</v>
      </c>
      <c r="B687" s="65" t="s">
        <v>229</v>
      </c>
      <c r="C687" s="65" t="s">
        <v>257</v>
      </c>
      <c r="D687" s="65">
        <v>4</v>
      </c>
      <c r="E687" s="65"/>
      <c r="F687" s="70">
        <v>224.87</v>
      </c>
      <c r="G687" s="70">
        <v>-1.1100000000000001</v>
      </c>
      <c r="H687" s="70">
        <v>-41.03</v>
      </c>
      <c r="I687" s="70">
        <v>-0.22</v>
      </c>
      <c r="J687" s="70">
        <v>40.14</v>
      </c>
      <c r="K687" s="70">
        <v>0.56999999999999995</v>
      </c>
      <c r="L687" s="64">
        <f t="shared" si="10"/>
        <v>-224.87</v>
      </c>
    </row>
    <row r="688" spans="1:12" x14ac:dyDescent="0.25">
      <c r="A688" s="65">
        <v>2326</v>
      </c>
      <c r="B688" s="65" t="s">
        <v>229</v>
      </c>
      <c r="C688" s="65" t="s">
        <v>845</v>
      </c>
      <c r="D688" s="65">
        <v>4</v>
      </c>
      <c r="E688" s="65"/>
      <c r="F688" s="70">
        <v>109.91</v>
      </c>
      <c r="G688" s="70">
        <v>-10.8</v>
      </c>
      <c r="H688" s="70">
        <v>-41.11</v>
      </c>
      <c r="I688" s="70">
        <v>-0.67</v>
      </c>
      <c r="J688" s="70">
        <v>26.78</v>
      </c>
      <c r="K688" s="70">
        <v>5.72</v>
      </c>
      <c r="L688" s="64">
        <f t="shared" si="10"/>
        <v>-109.91</v>
      </c>
    </row>
    <row r="689" spans="1:12" x14ac:dyDescent="0.25">
      <c r="A689" s="65">
        <v>2409</v>
      </c>
      <c r="B689" s="65" t="s">
        <v>229</v>
      </c>
      <c r="C689" s="65" t="s">
        <v>938</v>
      </c>
      <c r="D689" s="65">
        <v>0</v>
      </c>
      <c r="E689" s="65"/>
      <c r="F689" s="70">
        <v>-544.55999999999995</v>
      </c>
      <c r="G689" s="70">
        <v>-14.08</v>
      </c>
      <c r="H689" s="70">
        <v>-41.11</v>
      </c>
      <c r="I689" s="70">
        <v>-0.51</v>
      </c>
      <c r="J689" s="70">
        <v>-28.15</v>
      </c>
      <c r="K689" s="70">
        <v>-7.52</v>
      </c>
      <c r="L689" s="64">
        <f t="shared" si="10"/>
        <v>544.55999999999995</v>
      </c>
    </row>
    <row r="690" spans="1:12" x14ac:dyDescent="0.25">
      <c r="A690" s="65">
        <v>2538</v>
      </c>
      <c r="B690" s="65" t="s">
        <v>229</v>
      </c>
      <c r="C690" s="65" t="s">
        <v>1052</v>
      </c>
      <c r="D690" s="65">
        <v>0</v>
      </c>
      <c r="E690" s="65"/>
      <c r="F690" s="70">
        <v>271.55</v>
      </c>
      <c r="G690" s="70">
        <v>-1</v>
      </c>
      <c r="H690" s="70">
        <v>-41.35</v>
      </c>
      <c r="I690" s="70">
        <v>-0.23</v>
      </c>
      <c r="J690" s="70">
        <v>44.24</v>
      </c>
      <c r="K690" s="70">
        <v>-0.5</v>
      </c>
      <c r="L690" s="64">
        <f t="shared" si="10"/>
        <v>-271.55</v>
      </c>
    </row>
    <row r="691" spans="1:12" x14ac:dyDescent="0.25">
      <c r="A691" s="65">
        <v>2392</v>
      </c>
      <c r="B691" s="65" t="s">
        <v>229</v>
      </c>
      <c r="C691" s="65" t="s">
        <v>904</v>
      </c>
      <c r="D691" s="65">
        <v>0</v>
      </c>
      <c r="E691" s="65"/>
      <c r="F691" s="70">
        <v>-456.5</v>
      </c>
      <c r="G691" s="70">
        <v>-13.71</v>
      </c>
      <c r="H691" s="70">
        <v>-41.86</v>
      </c>
      <c r="I691" s="70">
        <v>-0.55000000000000004</v>
      </c>
      <c r="J691" s="70">
        <v>-29.45</v>
      </c>
      <c r="K691" s="70">
        <v>-6.26</v>
      </c>
      <c r="L691" s="64">
        <f t="shared" si="10"/>
        <v>456.5</v>
      </c>
    </row>
    <row r="692" spans="1:12" x14ac:dyDescent="0.25">
      <c r="A692" s="65">
        <v>2535</v>
      </c>
      <c r="B692" s="65" t="s">
        <v>229</v>
      </c>
      <c r="C692" s="65" t="s">
        <v>1047</v>
      </c>
      <c r="D692" s="65">
        <v>4</v>
      </c>
      <c r="E692" s="65"/>
      <c r="F692" s="70">
        <v>173.81</v>
      </c>
      <c r="G692" s="70">
        <v>-1.2</v>
      </c>
      <c r="H692" s="70">
        <v>-41.88</v>
      </c>
      <c r="I692" s="70">
        <v>-0.22</v>
      </c>
      <c r="J692" s="70">
        <v>33.700000000000003</v>
      </c>
      <c r="K692" s="70">
        <v>0.63</v>
      </c>
      <c r="L692" s="64">
        <f t="shared" si="10"/>
        <v>-173.81</v>
      </c>
    </row>
    <row r="693" spans="1:12" x14ac:dyDescent="0.25">
      <c r="A693" s="65">
        <v>1982</v>
      </c>
      <c r="B693" s="65" t="s">
        <v>229</v>
      </c>
      <c r="C693" s="65" t="s">
        <v>516</v>
      </c>
      <c r="D693" s="65">
        <v>0</v>
      </c>
      <c r="E693" s="65"/>
      <c r="F693" s="70">
        <v>223.88</v>
      </c>
      <c r="G693" s="70">
        <v>-9.8800000000000008</v>
      </c>
      <c r="H693" s="70">
        <v>-42.03</v>
      </c>
      <c r="I693" s="70">
        <v>-0.69</v>
      </c>
      <c r="J693" s="70">
        <v>21.28</v>
      </c>
      <c r="K693" s="70">
        <v>-4.58</v>
      </c>
      <c r="L693" s="64">
        <f t="shared" si="10"/>
        <v>-223.88</v>
      </c>
    </row>
    <row r="694" spans="1:12" x14ac:dyDescent="0.25">
      <c r="A694" s="65">
        <v>2536</v>
      </c>
      <c r="B694" s="65" t="s">
        <v>229</v>
      </c>
      <c r="C694" s="65" t="s">
        <v>1049</v>
      </c>
      <c r="D694" s="65">
        <v>4</v>
      </c>
      <c r="E694" s="65"/>
      <c r="F694" s="70">
        <v>224.84</v>
      </c>
      <c r="G694" s="70">
        <v>-1.1100000000000001</v>
      </c>
      <c r="H694" s="70">
        <v>-42.15</v>
      </c>
      <c r="I694" s="70">
        <v>-0.22</v>
      </c>
      <c r="J694" s="70">
        <v>40.64</v>
      </c>
      <c r="K694" s="70">
        <v>0.56999999999999995</v>
      </c>
      <c r="L694" s="64">
        <f t="shared" si="10"/>
        <v>-224.84</v>
      </c>
    </row>
    <row r="695" spans="1:12" x14ac:dyDescent="0.25">
      <c r="A695" s="65">
        <v>1911</v>
      </c>
      <c r="B695" s="65" t="s">
        <v>229</v>
      </c>
      <c r="C695" s="65" t="s">
        <v>446</v>
      </c>
      <c r="D695" s="65">
        <v>0</v>
      </c>
      <c r="E695" s="65"/>
      <c r="F695" s="70">
        <v>-225.89</v>
      </c>
      <c r="G695" s="70">
        <v>-12.02</v>
      </c>
      <c r="H695" s="70">
        <v>-42.21</v>
      </c>
      <c r="I695" s="70">
        <v>-0.63</v>
      </c>
      <c r="J695" s="70">
        <v>-27.29</v>
      </c>
      <c r="K695" s="70">
        <v>-5.52</v>
      </c>
      <c r="L695" s="64">
        <f t="shared" si="10"/>
        <v>225.89</v>
      </c>
    </row>
    <row r="696" spans="1:12" x14ac:dyDescent="0.25">
      <c r="A696" s="65">
        <v>1855</v>
      </c>
      <c r="B696" s="65" t="s">
        <v>229</v>
      </c>
      <c r="C696" s="65" t="s">
        <v>406</v>
      </c>
      <c r="D696" s="65">
        <v>0</v>
      </c>
      <c r="E696" s="65"/>
      <c r="F696" s="70">
        <v>-349.29</v>
      </c>
      <c r="G696" s="70">
        <v>-13.01</v>
      </c>
      <c r="H696" s="70">
        <v>-42.33</v>
      </c>
      <c r="I696" s="70">
        <v>-0.6</v>
      </c>
      <c r="J696" s="70">
        <v>-30.93</v>
      </c>
      <c r="K696" s="70">
        <v>-6.92</v>
      </c>
      <c r="L696" s="64">
        <f t="shared" si="10"/>
        <v>349.29</v>
      </c>
    </row>
    <row r="697" spans="1:12" x14ac:dyDescent="0.25">
      <c r="A697" s="65">
        <v>1838</v>
      </c>
      <c r="B697" s="65" t="s">
        <v>229</v>
      </c>
      <c r="C697" s="65" t="s">
        <v>373</v>
      </c>
      <c r="D697" s="65">
        <v>4</v>
      </c>
      <c r="E697" s="65"/>
      <c r="F697" s="70">
        <v>-632.66</v>
      </c>
      <c r="G697" s="70">
        <v>-14.19</v>
      </c>
      <c r="H697" s="70">
        <v>-42.36</v>
      </c>
      <c r="I697" s="70">
        <v>-0.48</v>
      </c>
      <c r="J697" s="70">
        <v>-25.68</v>
      </c>
      <c r="K697" s="70">
        <v>7.61</v>
      </c>
      <c r="L697" s="64">
        <f t="shared" si="10"/>
        <v>632.66</v>
      </c>
    </row>
    <row r="698" spans="1:12" x14ac:dyDescent="0.25">
      <c r="A698" s="65">
        <v>1907</v>
      </c>
      <c r="B698" s="65" t="s">
        <v>229</v>
      </c>
      <c r="C698" s="65" t="s">
        <v>438</v>
      </c>
      <c r="D698" s="65">
        <v>0</v>
      </c>
      <c r="E698" s="65"/>
      <c r="F698" s="70">
        <v>-630.38</v>
      </c>
      <c r="G698" s="70">
        <v>-14.2</v>
      </c>
      <c r="H698" s="70">
        <v>-42.6</v>
      </c>
      <c r="I698" s="70">
        <v>-0.48</v>
      </c>
      <c r="J698" s="70">
        <v>-35.409999999999997</v>
      </c>
      <c r="K698" s="70">
        <v>-6.43</v>
      </c>
      <c r="L698" s="64">
        <f t="shared" si="10"/>
        <v>630.38</v>
      </c>
    </row>
    <row r="699" spans="1:12" x14ac:dyDescent="0.25">
      <c r="A699" s="65">
        <v>2258</v>
      </c>
      <c r="B699" s="65" t="s">
        <v>229</v>
      </c>
      <c r="C699" s="65" t="s">
        <v>780</v>
      </c>
      <c r="D699" s="65">
        <v>0</v>
      </c>
      <c r="E699" s="65"/>
      <c r="F699" s="70">
        <v>223.26</v>
      </c>
      <c r="G699" s="70">
        <v>-9.89</v>
      </c>
      <c r="H699" s="70">
        <v>-42.85</v>
      </c>
      <c r="I699" s="70">
        <v>-0.69</v>
      </c>
      <c r="J699" s="70">
        <v>21.04</v>
      </c>
      <c r="K699" s="70">
        <v>-4.58</v>
      </c>
      <c r="L699" s="64">
        <f t="shared" si="10"/>
        <v>-223.26</v>
      </c>
    </row>
    <row r="700" spans="1:12" x14ac:dyDescent="0.25">
      <c r="A700" s="65">
        <v>31</v>
      </c>
      <c r="B700" s="65" t="s">
        <v>229</v>
      </c>
      <c r="C700" s="65" t="s">
        <v>252</v>
      </c>
      <c r="D700" s="65">
        <v>0</v>
      </c>
      <c r="E700" s="65"/>
      <c r="F700" s="70">
        <v>113.08</v>
      </c>
      <c r="G700" s="70">
        <v>-1.32</v>
      </c>
      <c r="H700" s="70">
        <v>-42.86</v>
      </c>
      <c r="I700" s="70">
        <v>-0.21</v>
      </c>
      <c r="J700" s="70">
        <v>20.11</v>
      </c>
      <c r="K700" s="70">
        <v>-0.61</v>
      </c>
      <c r="L700" s="64">
        <f t="shared" si="10"/>
        <v>-113.08</v>
      </c>
    </row>
    <row r="701" spans="1:12" x14ac:dyDescent="0.25">
      <c r="A701" s="65">
        <v>1856</v>
      </c>
      <c r="B701" s="65" t="s">
        <v>229</v>
      </c>
      <c r="C701" s="65" t="s">
        <v>408</v>
      </c>
      <c r="D701" s="65">
        <v>0</v>
      </c>
      <c r="E701" s="65"/>
      <c r="F701" s="70">
        <v>-453.15</v>
      </c>
      <c r="G701" s="70">
        <v>-13.72</v>
      </c>
      <c r="H701" s="70">
        <v>-43.12</v>
      </c>
      <c r="I701" s="70">
        <v>-0.55000000000000004</v>
      </c>
      <c r="J701" s="70">
        <v>-30.84</v>
      </c>
      <c r="K701" s="70">
        <v>-7.31</v>
      </c>
      <c r="L701" s="64">
        <f t="shared" si="10"/>
        <v>453.15</v>
      </c>
    </row>
    <row r="702" spans="1:12" x14ac:dyDescent="0.25">
      <c r="A702" s="65">
        <v>1916</v>
      </c>
      <c r="B702" s="65" t="s">
        <v>229</v>
      </c>
      <c r="C702" s="65" t="s">
        <v>457</v>
      </c>
      <c r="D702" s="65">
        <v>4</v>
      </c>
      <c r="E702" s="65"/>
      <c r="F702" s="70">
        <v>512.30999999999995</v>
      </c>
      <c r="G702" s="70">
        <v>-7.79</v>
      </c>
      <c r="H702" s="70">
        <v>-43.17</v>
      </c>
      <c r="I702" s="70">
        <v>-0.74</v>
      </c>
      <c r="J702" s="70">
        <v>70.959999999999994</v>
      </c>
      <c r="K702" s="70">
        <v>3.95</v>
      </c>
      <c r="L702" s="64">
        <f t="shared" si="10"/>
        <v>-512.30999999999995</v>
      </c>
    </row>
    <row r="703" spans="1:12" x14ac:dyDescent="0.25">
      <c r="A703" s="65">
        <v>34</v>
      </c>
      <c r="B703" s="65" t="s">
        <v>229</v>
      </c>
      <c r="C703" s="65" t="s">
        <v>258</v>
      </c>
      <c r="D703" s="65">
        <v>0</v>
      </c>
      <c r="E703" s="65"/>
      <c r="F703" s="70">
        <v>259.32</v>
      </c>
      <c r="G703" s="70">
        <v>-1.04</v>
      </c>
      <c r="H703" s="70">
        <v>-43.42</v>
      </c>
      <c r="I703" s="70">
        <v>-0.23</v>
      </c>
      <c r="J703" s="70">
        <v>41.39</v>
      </c>
      <c r="K703" s="70">
        <v>-0.5</v>
      </c>
      <c r="L703" s="64">
        <f t="shared" si="10"/>
        <v>-259.32</v>
      </c>
    </row>
    <row r="704" spans="1:12" x14ac:dyDescent="0.25">
      <c r="A704" s="65">
        <v>2325</v>
      </c>
      <c r="B704" s="65" t="s">
        <v>229</v>
      </c>
      <c r="C704" s="65" t="s">
        <v>842</v>
      </c>
      <c r="D704" s="65">
        <v>0</v>
      </c>
      <c r="E704" s="65"/>
      <c r="F704" s="70">
        <v>-228.39</v>
      </c>
      <c r="G704" s="70">
        <v>-12.06</v>
      </c>
      <c r="H704" s="70">
        <v>-43.5</v>
      </c>
      <c r="I704" s="70">
        <v>-0.63</v>
      </c>
      <c r="J704" s="70">
        <v>-28.08</v>
      </c>
      <c r="K704" s="70">
        <v>-5.54</v>
      </c>
      <c r="L704" s="64">
        <f t="shared" si="10"/>
        <v>228.39</v>
      </c>
    </row>
    <row r="705" spans="1:12" x14ac:dyDescent="0.25">
      <c r="A705" s="65">
        <v>1842</v>
      </c>
      <c r="B705" s="65" t="s">
        <v>229</v>
      </c>
      <c r="C705" s="65" t="s">
        <v>381</v>
      </c>
      <c r="D705" s="65">
        <v>4</v>
      </c>
      <c r="E705" s="65"/>
      <c r="F705" s="70">
        <v>-227.94</v>
      </c>
      <c r="G705" s="70">
        <v>-12.01</v>
      </c>
      <c r="H705" s="70">
        <v>-43.87</v>
      </c>
      <c r="I705" s="70">
        <v>-0.62</v>
      </c>
      <c r="J705" s="70">
        <v>-28.78</v>
      </c>
      <c r="K705" s="70">
        <v>6.37</v>
      </c>
      <c r="L705" s="64">
        <f t="shared" si="10"/>
        <v>227.94</v>
      </c>
    </row>
    <row r="706" spans="1:12" x14ac:dyDescent="0.25">
      <c r="A706" s="65">
        <v>2407</v>
      </c>
      <c r="B706" s="65" t="s">
        <v>229</v>
      </c>
      <c r="C706" s="65" t="s">
        <v>934</v>
      </c>
      <c r="D706" s="65">
        <v>0</v>
      </c>
      <c r="E706" s="65"/>
      <c r="F706" s="70">
        <v>-345.44</v>
      </c>
      <c r="G706" s="70">
        <v>-12.94</v>
      </c>
      <c r="H706" s="70">
        <v>-44.04</v>
      </c>
      <c r="I706" s="70">
        <v>-0.59</v>
      </c>
      <c r="J706" s="70">
        <v>-31.98</v>
      </c>
      <c r="K706" s="70">
        <v>-6.88</v>
      </c>
      <c r="L706" s="64">
        <f t="shared" si="10"/>
        <v>345.44</v>
      </c>
    </row>
    <row r="707" spans="1:12" x14ac:dyDescent="0.25">
      <c r="A707" s="65">
        <v>2534</v>
      </c>
      <c r="B707" s="65" t="s">
        <v>229</v>
      </c>
      <c r="C707" s="65" t="s">
        <v>1044</v>
      </c>
      <c r="D707" s="65">
        <v>0</v>
      </c>
      <c r="E707" s="65"/>
      <c r="F707" s="70">
        <v>112.99</v>
      </c>
      <c r="G707" s="70">
        <v>-1.32</v>
      </c>
      <c r="H707" s="70">
        <v>-44.08</v>
      </c>
      <c r="I707" s="70">
        <v>-0.21</v>
      </c>
      <c r="J707" s="70">
        <v>19.510000000000002</v>
      </c>
      <c r="K707" s="70">
        <v>-0.61</v>
      </c>
      <c r="L707" s="64">
        <f t="shared" ref="L707:L770" si="11">F707*-1</f>
        <v>-112.99</v>
      </c>
    </row>
    <row r="708" spans="1:12" x14ac:dyDescent="0.25">
      <c r="A708" s="65">
        <v>2321</v>
      </c>
      <c r="B708" s="65" t="s">
        <v>229</v>
      </c>
      <c r="C708" s="65" t="s">
        <v>834</v>
      </c>
      <c r="D708" s="65">
        <v>0</v>
      </c>
      <c r="E708" s="65"/>
      <c r="F708" s="70">
        <v>-631.75</v>
      </c>
      <c r="G708" s="70">
        <v>-14.32</v>
      </c>
      <c r="H708" s="70">
        <v>-44.27</v>
      </c>
      <c r="I708" s="70">
        <v>-0.48</v>
      </c>
      <c r="J708" s="70">
        <v>-36.43</v>
      </c>
      <c r="K708" s="70">
        <v>-6.48</v>
      </c>
      <c r="L708" s="64">
        <f t="shared" si="11"/>
        <v>631.75</v>
      </c>
    </row>
    <row r="709" spans="1:12" x14ac:dyDescent="0.25">
      <c r="A709" s="65">
        <v>2330</v>
      </c>
      <c r="B709" s="65" t="s">
        <v>229</v>
      </c>
      <c r="C709" s="65" t="s">
        <v>853</v>
      </c>
      <c r="D709" s="65">
        <v>4</v>
      </c>
      <c r="E709" s="65"/>
      <c r="F709" s="70">
        <v>512.29999999999995</v>
      </c>
      <c r="G709" s="70">
        <v>-7.78</v>
      </c>
      <c r="H709" s="70">
        <v>-44.27</v>
      </c>
      <c r="I709" s="70">
        <v>-0.74</v>
      </c>
      <c r="J709" s="70">
        <v>71.489999999999995</v>
      </c>
      <c r="K709" s="70">
        <v>3.95</v>
      </c>
      <c r="L709" s="64">
        <f t="shared" si="11"/>
        <v>-512.29999999999995</v>
      </c>
    </row>
    <row r="710" spans="1:12" x14ac:dyDescent="0.25">
      <c r="A710" s="65">
        <v>1913</v>
      </c>
      <c r="B710" s="65" t="s">
        <v>229</v>
      </c>
      <c r="C710" s="65" t="s">
        <v>451</v>
      </c>
      <c r="D710" s="65">
        <v>4</v>
      </c>
      <c r="E710" s="65"/>
      <c r="F710" s="70">
        <v>225.99</v>
      </c>
      <c r="G710" s="70">
        <v>-9.8800000000000008</v>
      </c>
      <c r="H710" s="70">
        <v>-44.45</v>
      </c>
      <c r="I710" s="70">
        <v>-0.69</v>
      </c>
      <c r="J710" s="70">
        <v>39.04</v>
      </c>
      <c r="K710" s="70">
        <v>5.2</v>
      </c>
      <c r="L710" s="64">
        <f t="shared" si="11"/>
        <v>-225.99</v>
      </c>
    </row>
    <row r="711" spans="1:12" x14ac:dyDescent="0.25">
      <c r="A711" s="65">
        <v>2537</v>
      </c>
      <c r="B711" s="65" t="s">
        <v>229</v>
      </c>
      <c r="C711" s="65" t="s">
        <v>1050</v>
      </c>
      <c r="D711" s="65">
        <v>0</v>
      </c>
      <c r="E711" s="65"/>
      <c r="F711" s="70">
        <v>259.31</v>
      </c>
      <c r="G711" s="70">
        <v>-1.04</v>
      </c>
      <c r="H711" s="70">
        <v>-44.47</v>
      </c>
      <c r="I711" s="70">
        <v>-0.23</v>
      </c>
      <c r="J711" s="70">
        <v>40.9</v>
      </c>
      <c r="K711" s="70">
        <v>-0.5</v>
      </c>
      <c r="L711" s="64">
        <f t="shared" si="11"/>
        <v>-259.31</v>
      </c>
    </row>
    <row r="712" spans="1:12" x14ac:dyDescent="0.25">
      <c r="A712" s="65">
        <v>2390</v>
      </c>
      <c r="B712" s="65" t="s">
        <v>229</v>
      </c>
      <c r="C712" s="65" t="s">
        <v>901</v>
      </c>
      <c r="D712" s="65">
        <v>4</v>
      </c>
      <c r="E712" s="65"/>
      <c r="F712" s="70">
        <v>-634.36</v>
      </c>
      <c r="G712" s="70">
        <v>-14.33</v>
      </c>
      <c r="H712" s="70">
        <v>-44.48</v>
      </c>
      <c r="I712" s="70">
        <v>-0.48</v>
      </c>
      <c r="J712" s="70">
        <v>-24.64</v>
      </c>
      <c r="K712" s="70">
        <v>7.68</v>
      </c>
      <c r="L712" s="64">
        <f t="shared" si="11"/>
        <v>634.36</v>
      </c>
    </row>
    <row r="713" spans="1:12" x14ac:dyDescent="0.25">
      <c r="A713" s="65">
        <v>2408</v>
      </c>
      <c r="B713" s="65" t="s">
        <v>229</v>
      </c>
      <c r="C713" s="65" t="s">
        <v>936</v>
      </c>
      <c r="D713" s="65">
        <v>0</v>
      </c>
      <c r="E713" s="65"/>
      <c r="F713" s="70">
        <v>-449.82</v>
      </c>
      <c r="G713" s="70">
        <v>-13.63</v>
      </c>
      <c r="H713" s="70">
        <v>-44.83</v>
      </c>
      <c r="I713" s="70">
        <v>-0.55000000000000004</v>
      </c>
      <c r="J713" s="70">
        <v>-31.89</v>
      </c>
      <c r="K713" s="70">
        <v>-7.26</v>
      </c>
      <c r="L713" s="64">
        <f t="shared" si="11"/>
        <v>449.82</v>
      </c>
    </row>
    <row r="714" spans="1:12" x14ac:dyDescent="0.25">
      <c r="A714" s="65">
        <v>1983</v>
      </c>
      <c r="B714" s="65" t="s">
        <v>229</v>
      </c>
      <c r="C714" s="65" t="s">
        <v>518</v>
      </c>
      <c r="D714" s="65">
        <v>0</v>
      </c>
      <c r="E714" s="65"/>
      <c r="F714" s="70">
        <v>344.19</v>
      </c>
      <c r="G714" s="70">
        <v>-8.99</v>
      </c>
      <c r="H714" s="70">
        <v>-45.02</v>
      </c>
      <c r="I714" s="70">
        <v>-0.72</v>
      </c>
      <c r="J714" s="70">
        <v>34.659999999999997</v>
      </c>
      <c r="K714" s="70">
        <v>-4.2</v>
      </c>
      <c r="L714" s="64">
        <f t="shared" si="11"/>
        <v>-344.19</v>
      </c>
    </row>
    <row r="715" spans="1:12" x14ac:dyDescent="0.25">
      <c r="A715" s="65">
        <v>1984</v>
      </c>
      <c r="B715" s="65" t="s">
        <v>229</v>
      </c>
      <c r="C715" s="65" t="s">
        <v>520</v>
      </c>
      <c r="D715" s="65">
        <v>0</v>
      </c>
      <c r="E715" s="65"/>
      <c r="F715" s="70">
        <v>444.1</v>
      </c>
      <c r="G715" s="70">
        <v>-8.35</v>
      </c>
      <c r="H715" s="70">
        <v>-45.02</v>
      </c>
      <c r="I715" s="70">
        <v>-0.72</v>
      </c>
      <c r="J715" s="70">
        <v>48.92</v>
      </c>
      <c r="K715" s="70">
        <v>-3.96</v>
      </c>
      <c r="L715" s="64">
        <f t="shared" si="11"/>
        <v>-444.1</v>
      </c>
    </row>
    <row r="716" spans="1:12" x14ac:dyDescent="0.25">
      <c r="A716" s="65">
        <v>32</v>
      </c>
      <c r="B716" s="65" t="s">
        <v>229</v>
      </c>
      <c r="C716" s="65" t="s">
        <v>254</v>
      </c>
      <c r="D716" s="65">
        <v>0</v>
      </c>
      <c r="E716" s="65"/>
      <c r="F716" s="70">
        <v>173.28</v>
      </c>
      <c r="G716" s="70">
        <v>-1.2</v>
      </c>
      <c r="H716" s="70">
        <v>-45.28</v>
      </c>
      <c r="I716" s="70">
        <v>-0.22</v>
      </c>
      <c r="J716" s="70">
        <v>26.97</v>
      </c>
      <c r="K716" s="70">
        <v>-0.56000000000000005</v>
      </c>
      <c r="L716" s="64">
        <f t="shared" si="11"/>
        <v>-173.28</v>
      </c>
    </row>
    <row r="717" spans="1:12" x14ac:dyDescent="0.25">
      <c r="A717" s="65">
        <v>1768</v>
      </c>
      <c r="B717" s="65" t="s">
        <v>229</v>
      </c>
      <c r="C717" s="65" t="s">
        <v>304</v>
      </c>
      <c r="D717" s="65">
        <v>0</v>
      </c>
      <c r="E717" s="65"/>
      <c r="F717" s="70">
        <v>-738.13</v>
      </c>
      <c r="G717" s="70">
        <v>-13.75</v>
      </c>
      <c r="H717" s="70">
        <v>-45.5</v>
      </c>
      <c r="I717" s="70">
        <v>-0.41</v>
      </c>
      <c r="J717" s="70">
        <v>-44.5</v>
      </c>
      <c r="K717" s="70">
        <v>-6.12</v>
      </c>
      <c r="L717" s="64">
        <f t="shared" si="11"/>
        <v>738.13</v>
      </c>
    </row>
    <row r="718" spans="1:12" x14ac:dyDescent="0.25">
      <c r="A718" s="65">
        <v>2394</v>
      </c>
      <c r="B718" s="65" t="s">
        <v>229</v>
      </c>
      <c r="C718" s="65" t="s">
        <v>909</v>
      </c>
      <c r="D718" s="65">
        <v>4</v>
      </c>
      <c r="E718" s="65"/>
      <c r="F718" s="70">
        <v>-231.03</v>
      </c>
      <c r="G718" s="70">
        <v>-12.07</v>
      </c>
      <c r="H718" s="70">
        <v>-45.62</v>
      </c>
      <c r="I718" s="70">
        <v>-0.63</v>
      </c>
      <c r="J718" s="70">
        <v>-27.72</v>
      </c>
      <c r="K718" s="70">
        <v>6.4</v>
      </c>
      <c r="L718" s="64">
        <f t="shared" si="11"/>
        <v>231.03</v>
      </c>
    </row>
    <row r="719" spans="1:12" x14ac:dyDescent="0.25">
      <c r="A719" s="65">
        <v>33</v>
      </c>
      <c r="B719" s="65" t="s">
        <v>229</v>
      </c>
      <c r="C719" s="65" t="s">
        <v>256</v>
      </c>
      <c r="D719" s="65">
        <v>0</v>
      </c>
      <c r="E719" s="65"/>
      <c r="F719" s="70">
        <v>224.49</v>
      </c>
      <c r="G719" s="70">
        <v>-1.1100000000000001</v>
      </c>
      <c r="H719" s="70">
        <v>-45.63</v>
      </c>
      <c r="I719" s="70">
        <v>-0.22</v>
      </c>
      <c r="J719" s="70">
        <v>34.57</v>
      </c>
      <c r="K719" s="70">
        <v>-0.53</v>
      </c>
      <c r="L719" s="64">
        <f t="shared" si="11"/>
        <v>-224.49</v>
      </c>
    </row>
    <row r="720" spans="1:12" x14ac:dyDescent="0.25">
      <c r="A720" s="65">
        <v>2327</v>
      </c>
      <c r="B720" s="65" t="s">
        <v>229</v>
      </c>
      <c r="C720" s="65" t="s">
        <v>847</v>
      </c>
      <c r="D720" s="65">
        <v>4</v>
      </c>
      <c r="E720" s="65"/>
      <c r="F720" s="70">
        <v>225.33</v>
      </c>
      <c r="G720" s="70">
        <v>-9.89</v>
      </c>
      <c r="H720" s="70">
        <v>-45.68</v>
      </c>
      <c r="I720" s="70">
        <v>-0.69</v>
      </c>
      <c r="J720" s="70">
        <v>39.46</v>
      </c>
      <c r="K720" s="70">
        <v>5.2</v>
      </c>
      <c r="L720" s="64">
        <f t="shared" si="11"/>
        <v>-225.33</v>
      </c>
    </row>
    <row r="721" spans="1:12" x14ac:dyDescent="0.25">
      <c r="A721" s="65">
        <v>2260</v>
      </c>
      <c r="B721" s="65" t="s">
        <v>229</v>
      </c>
      <c r="C721" s="65" t="s">
        <v>784</v>
      </c>
      <c r="D721" s="65">
        <v>0</v>
      </c>
      <c r="E721" s="65"/>
      <c r="F721" s="70">
        <v>444.08</v>
      </c>
      <c r="G721" s="70">
        <v>-8.34</v>
      </c>
      <c r="H721" s="70">
        <v>-45.77</v>
      </c>
      <c r="I721" s="70">
        <v>-0.72</v>
      </c>
      <c r="J721" s="70">
        <v>48.66</v>
      </c>
      <c r="K721" s="70">
        <v>-3.95</v>
      </c>
      <c r="L721" s="64">
        <f t="shared" si="11"/>
        <v>-444.08</v>
      </c>
    </row>
    <row r="722" spans="1:12" x14ac:dyDescent="0.25">
      <c r="A722" s="65">
        <v>2259</v>
      </c>
      <c r="B722" s="65" t="s">
        <v>229</v>
      </c>
      <c r="C722" s="65" t="s">
        <v>782</v>
      </c>
      <c r="D722" s="65">
        <v>0</v>
      </c>
      <c r="E722" s="65"/>
      <c r="F722" s="70">
        <v>344.16</v>
      </c>
      <c r="G722" s="70">
        <v>-8.98</v>
      </c>
      <c r="H722" s="70">
        <v>-45.81</v>
      </c>
      <c r="I722" s="70">
        <v>-0.72</v>
      </c>
      <c r="J722" s="70">
        <v>34.4</v>
      </c>
      <c r="K722" s="70">
        <v>-4.2</v>
      </c>
      <c r="L722" s="64">
        <f t="shared" si="11"/>
        <v>-344.16</v>
      </c>
    </row>
    <row r="723" spans="1:12" x14ac:dyDescent="0.25">
      <c r="A723" s="65">
        <v>1770</v>
      </c>
      <c r="B723" s="65" t="s">
        <v>229</v>
      </c>
      <c r="C723" s="65" t="s">
        <v>308</v>
      </c>
      <c r="D723" s="65">
        <v>0</v>
      </c>
      <c r="E723" s="65"/>
      <c r="F723" s="70">
        <v>-554.04999999999995</v>
      </c>
      <c r="G723" s="70">
        <v>-14.09</v>
      </c>
      <c r="H723" s="70">
        <v>-46.35</v>
      </c>
      <c r="I723" s="70">
        <v>-0.51</v>
      </c>
      <c r="J723" s="70">
        <v>-29.92</v>
      </c>
      <c r="K723" s="70">
        <v>-6.42</v>
      </c>
      <c r="L723" s="64">
        <f t="shared" si="11"/>
        <v>554.04999999999995</v>
      </c>
    </row>
    <row r="724" spans="1:12" x14ac:dyDescent="0.25">
      <c r="A724" s="65">
        <v>2535</v>
      </c>
      <c r="B724" s="65" t="s">
        <v>229</v>
      </c>
      <c r="C724" s="65" t="s">
        <v>1046</v>
      </c>
      <c r="D724" s="65">
        <v>0</v>
      </c>
      <c r="E724" s="65"/>
      <c r="F724" s="70">
        <v>173.24</v>
      </c>
      <c r="G724" s="70">
        <v>-1.2</v>
      </c>
      <c r="H724" s="70">
        <v>-46.46</v>
      </c>
      <c r="I724" s="70">
        <v>-0.22</v>
      </c>
      <c r="J724" s="70">
        <v>26.47</v>
      </c>
      <c r="K724" s="70">
        <v>-0.56000000000000005</v>
      </c>
      <c r="L724" s="64">
        <f t="shared" si="11"/>
        <v>-173.24</v>
      </c>
    </row>
    <row r="725" spans="1:12" x14ac:dyDescent="0.25">
      <c r="A725" s="65">
        <v>2536</v>
      </c>
      <c r="B725" s="65" t="s">
        <v>229</v>
      </c>
      <c r="C725" s="65" t="s">
        <v>1048</v>
      </c>
      <c r="D725" s="65">
        <v>0</v>
      </c>
      <c r="E725" s="65"/>
      <c r="F725" s="70">
        <v>224.46</v>
      </c>
      <c r="G725" s="70">
        <v>-1.1100000000000001</v>
      </c>
      <c r="H725" s="70">
        <v>-46.75</v>
      </c>
      <c r="I725" s="70">
        <v>-0.22</v>
      </c>
      <c r="J725" s="70">
        <v>34.1</v>
      </c>
      <c r="K725" s="70">
        <v>-0.53</v>
      </c>
      <c r="L725" s="64">
        <f t="shared" si="11"/>
        <v>-224.46</v>
      </c>
    </row>
    <row r="726" spans="1:12" x14ac:dyDescent="0.25">
      <c r="A726" s="65">
        <v>1917</v>
      </c>
      <c r="B726" s="65" t="s">
        <v>229</v>
      </c>
      <c r="C726" s="65" t="s">
        <v>458</v>
      </c>
      <c r="D726" s="65">
        <v>0</v>
      </c>
      <c r="E726" s="65"/>
      <c r="F726" s="70">
        <v>536.66</v>
      </c>
      <c r="G726" s="70">
        <v>-7.52</v>
      </c>
      <c r="H726" s="70">
        <v>-46.8</v>
      </c>
      <c r="I726" s="70">
        <v>-0.74</v>
      </c>
      <c r="J726" s="70">
        <v>72.59</v>
      </c>
      <c r="K726" s="70">
        <v>-3.75</v>
      </c>
      <c r="L726" s="64">
        <f t="shared" si="11"/>
        <v>-536.66</v>
      </c>
    </row>
    <row r="727" spans="1:12" x14ac:dyDescent="0.25">
      <c r="A727" s="65">
        <v>2458</v>
      </c>
      <c r="B727" s="65" t="s">
        <v>229</v>
      </c>
      <c r="C727" s="65" t="s">
        <v>964</v>
      </c>
      <c r="D727" s="65">
        <v>0</v>
      </c>
      <c r="E727" s="65"/>
      <c r="F727" s="70">
        <v>-739.56</v>
      </c>
      <c r="G727" s="70">
        <v>-13.98</v>
      </c>
      <c r="H727" s="70">
        <v>-46.8</v>
      </c>
      <c r="I727" s="70">
        <v>-0.41</v>
      </c>
      <c r="J727" s="70">
        <v>-45.61</v>
      </c>
      <c r="K727" s="70">
        <v>-6.22</v>
      </c>
      <c r="L727" s="64">
        <f t="shared" si="11"/>
        <v>739.56</v>
      </c>
    </row>
    <row r="728" spans="1:12" x14ac:dyDescent="0.25">
      <c r="A728" s="65">
        <v>1841</v>
      </c>
      <c r="B728" s="65" t="s">
        <v>229</v>
      </c>
      <c r="C728" s="65" t="s">
        <v>378</v>
      </c>
      <c r="D728" s="65">
        <v>0</v>
      </c>
      <c r="E728" s="65"/>
      <c r="F728" s="70">
        <v>-348.63</v>
      </c>
      <c r="G728" s="70">
        <v>-12.95</v>
      </c>
      <c r="H728" s="70">
        <v>-47.1</v>
      </c>
      <c r="I728" s="70">
        <v>-0.59</v>
      </c>
      <c r="J728" s="70">
        <v>-32.29</v>
      </c>
      <c r="K728" s="70">
        <v>-5.92</v>
      </c>
      <c r="L728" s="64">
        <f t="shared" si="11"/>
        <v>348.63</v>
      </c>
    </row>
    <row r="729" spans="1:12" x14ac:dyDescent="0.25">
      <c r="A729" s="65">
        <v>1914</v>
      </c>
      <c r="B729" s="65" t="s">
        <v>229</v>
      </c>
      <c r="C729" s="65" t="s">
        <v>453</v>
      </c>
      <c r="D729" s="65">
        <v>4</v>
      </c>
      <c r="E729" s="65"/>
      <c r="F729" s="70">
        <v>345.35</v>
      </c>
      <c r="G729" s="70">
        <v>-8.99</v>
      </c>
      <c r="H729" s="70">
        <v>-47.7</v>
      </c>
      <c r="I729" s="70">
        <v>-0.72</v>
      </c>
      <c r="J729" s="70">
        <v>52.2</v>
      </c>
      <c r="K729" s="70">
        <v>4.6900000000000004</v>
      </c>
      <c r="L729" s="64">
        <f t="shared" si="11"/>
        <v>-345.35</v>
      </c>
    </row>
    <row r="730" spans="1:12" x14ac:dyDescent="0.25">
      <c r="A730" s="65">
        <v>1788</v>
      </c>
      <c r="B730" s="65" t="s">
        <v>229</v>
      </c>
      <c r="C730" s="65" t="s">
        <v>344</v>
      </c>
      <c r="D730" s="65">
        <v>0</v>
      </c>
      <c r="E730" s="65"/>
      <c r="F730" s="70">
        <v>-553.11</v>
      </c>
      <c r="G730" s="70">
        <v>-14.21</v>
      </c>
      <c r="H730" s="70">
        <v>-47.78</v>
      </c>
      <c r="I730" s="70">
        <v>-0.51</v>
      </c>
      <c r="J730" s="70">
        <v>-31.22</v>
      </c>
      <c r="K730" s="70">
        <v>-7.58</v>
      </c>
      <c r="L730" s="64">
        <f t="shared" si="11"/>
        <v>553.11</v>
      </c>
    </row>
    <row r="731" spans="1:12" x14ac:dyDescent="0.25">
      <c r="A731" s="65">
        <v>2331</v>
      </c>
      <c r="B731" s="65" t="s">
        <v>229</v>
      </c>
      <c r="C731" s="65" t="s">
        <v>854</v>
      </c>
      <c r="D731" s="65">
        <v>0</v>
      </c>
      <c r="E731" s="65"/>
      <c r="F731" s="70">
        <v>536.65</v>
      </c>
      <c r="G731" s="70">
        <v>-7.52</v>
      </c>
      <c r="H731" s="70">
        <v>-47.85</v>
      </c>
      <c r="I731" s="70">
        <v>-0.74</v>
      </c>
      <c r="J731" s="70">
        <v>72.06</v>
      </c>
      <c r="K731" s="70">
        <v>-3.74</v>
      </c>
      <c r="L731" s="64">
        <f t="shared" si="11"/>
        <v>-536.65</v>
      </c>
    </row>
    <row r="732" spans="1:12" x14ac:dyDescent="0.25">
      <c r="A732" s="65">
        <v>1915</v>
      </c>
      <c r="B732" s="65" t="s">
        <v>229</v>
      </c>
      <c r="C732" s="65" t="s">
        <v>455</v>
      </c>
      <c r="D732" s="65">
        <v>4</v>
      </c>
      <c r="E732" s="65"/>
      <c r="F732" s="70">
        <v>445.29</v>
      </c>
      <c r="G732" s="70">
        <v>-8.35</v>
      </c>
      <c r="H732" s="70">
        <v>-47.91</v>
      </c>
      <c r="I732" s="70">
        <v>-0.72</v>
      </c>
      <c r="J732" s="70">
        <v>63.41</v>
      </c>
      <c r="K732" s="70">
        <v>4.3</v>
      </c>
      <c r="L732" s="64">
        <f t="shared" si="11"/>
        <v>-445.29</v>
      </c>
    </row>
    <row r="733" spans="1:12" x14ac:dyDescent="0.25">
      <c r="A733" s="65">
        <v>1912</v>
      </c>
      <c r="B733" s="65" t="s">
        <v>229</v>
      </c>
      <c r="C733" s="65" t="s">
        <v>448</v>
      </c>
      <c r="D733" s="65">
        <v>0</v>
      </c>
      <c r="E733" s="65"/>
      <c r="F733" s="70">
        <v>107.97</v>
      </c>
      <c r="G733" s="70">
        <v>-10.79</v>
      </c>
      <c r="H733" s="70">
        <v>-48.61</v>
      </c>
      <c r="I733" s="70">
        <v>-0.67</v>
      </c>
      <c r="J733" s="70">
        <v>-23.93</v>
      </c>
      <c r="K733" s="70">
        <v>-4.96</v>
      </c>
      <c r="L733" s="64">
        <f t="shared" si="11"/>
        <v>-107.97</v>
      </c>
    </row>
    <row r="734" spans="1:12" x14ac:dyDescent="0.25">
      <c r="A734" s="65">
        <v>2460</v>
      </c>
      <c r="B734" s="65" t="s">
        <v>229</v>
      </c>
      <c r="C734" s="65" t="s">
        <v>968</v>
      </c>
      <c r="D734" s="65">
        <v>0</v>
      </c>
      <c r="E734" s="65"/>
      <c r="F734" s="70">
        <v>-557.03</v>
      </c>
      <c r="G734" s="70">
        <v>-14.22</v>
      </c>
      <c r="H734" s="70">
        <v>-48.75</v>
      </c>
      <c r="I734" s="70">
        <v>-0.51</v>
      </c>
      <c r="J734" s="70">
        <v>-31.19</v>
      </c>
      <c r="K734" s="70">
        <v>-6.48</v>
      </c>
      <c r="L734" s="64">
        <f t="shared" si="11"/>
        <v>557.03</v>
      </c>
    </row>
    <row r="735" spans="1:12" x14ac:dyDescent="0.25">
      <c r="A735" s="65">
        <v>2393</v>
      </c>
      <c r="B735" s="65" t="s">
        <v>229</v>
      </c>
      <c r="C735" s="65" t="s">
        <v>906</v>
      </c>
      <c r="D735" s="65">
        <v>0</v>
      </c>
      <c r="E735" s="65"/>
      <c r="F735" s="70">
        <v>-352.41</v>
      </c>
      <c r="G735" s="70">
        <v>-13.01</v>
      </c>
      <c r="H735" s="70">
        <v>-48.89</v>
      </c>
      <c r="I735" s="70">
        <v>-0.59</v>
      </c>
      <c r="J735" s="70">
        <v>-33.44</v>
      </c>
      <c r="K735" s="70">
        <v>-5.96</v>
      </c>
      <c r="L735" s="64">
        <f t="shared" si="11"/>
        <v>352.41</v>
      </c>
    </row>
    <row r="736" spans="1:12" x14ac:dyDescent="0.25">
      <c r="A736" s="65">
        <v>2328</v>
      </c>
      <c r="B736" s="65" t="s">
        <v>229</v>
      </c>
      <c r="C736" s="65" t="s">
        <v>849</v>
      </c>
      <c r="D736" s="65">
        <v>4</v>
      </c>
      <c r="E736" s="65"/>
      <c r="F736" s="70">
        <v>345.32</v>
      </c>
      <c r="G736" s="70">
        <v>-8.98</v>
      </c>
      <c r="H736" s="70">
        <v>-48.93</v>
      </c>
      <c r="I736" s="70">
        <v>-0.72</v>
      </c>
      <c r="J736" s="70">
        <v>52.65</v>
      </c>
      <c r="K736" s="70">
        <v>4.6900000000000004</v>
      </c>
      <c r="L736" s="64">
        <f t="shared" si="11"/>
        <v>-345.32</v>
      </c>
    </row>
    <row r="737" spans="1:12" x14ac:dyDescent="0.25">
      <c r="A737" s="65">
        <v>2329</v>
      </c>
      <c r="B737" s="65" t="s">
        <v>229</v>
      </c>
      <c r="C737" s="65" t="s">
        <v>851</v>
      </c>
      <c r="D737" s="65">
        <v>4</v>
      </c>
      <c r="E737" s="65"/>
      <c r="F737" s="70">
        <v>445.26</v>
      </c>
      <c r="G737" s="70">
        <v>-8.34</v>
      </c>
      <c r="H737" s="70">
        <v>-49.09</v>
      </c>
      <c r="I737" s="70">
        <v>-0.72</v>
      </c>
      <c r="J737" s="70">
        <v>63.86</v>
      </c>
      <c r="K737" s="70">
        <v>4.3</v>
      </c>
      <c r="L737" s="64">
        <f t="shared" si="11"/>
        <v>-445.26</v>
      </c>
    </row>
    <row r="738" spans="1:12" x14ac:dyDescent="0.25">
      <c r="A738" s="65">
        <v>1771</v>
      </c>
      <c r="B738" s="65" t="s">
        <v>229</v>
      </c>
      <c r="C738" s="65" t="s">
        <v>310</v>
      </c>
      <c r="D738" s="65">
        <v>0</v>
      </c>
      <c r="E738" s="65"/>
      <c r="F738" s="70">
        <v>-458.5</v>
      </c>
      <c r="G738" s="70">
        <v>-13.61</v>
      </c>
      <c r="H738" s="70">
        <v>-49.28</v>
      </c>
      <c r="I738" s="70">
        <v>-0.55000000000000004</v>
      </c>
      <c r="J738" s="70">
        <v>-32.83</v>
      </c>
      <c r="K738" s="70">
        <v>-6.21</v>
      </c>
      <c r="L738" s="64">
        <f t="shared" si="11"/>
        <v>458.5</v>
      </c>
    </row>
    <row r="739" spans="1:12" x14ac:dyDescent="0.25">
      <c r="A739" s="65">
        <v>2326</v>
      </c>
      <c r="B739" s="65" t="s">
        <v>229</v>
      </c>
      <c r="C739" s="65" t="s">
        <v>844</v>
      </c>
      <c r="D739" s="65">
        <v>0</v>
      </c>
      <c r="E739" s="65"/>
      <c r="F739" s="70">
        <v>108.02</v>
      </c>
      <c r="G739" s="70">
        <v>-10.8</v>
      </c>
      <c r="H739" s="70">
        <v>-50.14</v>
      </c>
      <c r="I739" s="70">
        <v>-0.67</v>
      </c>
      <c r="J739" s="70">
        <v>-24.72</v>
      </c>
      <c r="K739" s="70">
        <v>-4.97</v>
      </c>
      <c r="L739" s="64">
        <f t="shared" si="11"/>
        <v>-108.02</v>
      </c>
    </row>
    <row r="740" spans="1:12" x14ac:dyDescent="0.25">
      <c r="A740" s="65">
        <v>2478</v>
      </c>
      <c r="B740" s="65" t="s">
        <v>229</v>
      </c>
      <c r="C740" s="65" t="s">
        <v>1004</v>
      </c>
      <c r="D740" s="65">
        <v>0</v>
      </c>
      <c r="E740" s="65"/>
      <c r="F740" s="70">
        <v>-550.11</v>
      </c>
      <c r="G740" s="70">
        <v>-14.07</v>
      </c>
      <c r="H740" s="70">
        <v>-50.14</v>
      </c>
      <c r="I740" s="70">
        <v>-0.51</v>
      </c>
      <c r="J740" s="70">
        <v>-32.46</v>
      </c>
      <c r="K740" s="70">
        <v>-7.51</v>
      </c>
      <c r="L740" s="64">
        <f t="shared" si="11"/>
        <v>550.11</v>
      </c>
    </row>
    <row r="741" spans="1:12" x14ac:dyDescent="0.25">
      <c r="A741" s="65">
        <v>1843</v>
      </c>
      <c r="B741" s="65" t="s">
        <v>229</v>
      </c>
      <c r="C741" s="65" t="s">
        <v>383</v>
      </c>
      <c r="D741" s="65">
        <v>4</v>
      </c>
      <c r="E741" s="65"/>
      <c r="F741" s="70">
        <v>110.08</v>
      </c>
      <c r="G741" s="70">
        <v>-10.78</v>
      </c>
      <c r="H741" s="70">
        <v>-50.16</v>
      </c>
      <c r="I741" s="70">
        <v>-0.67</v>
      </c>
      <c r="J741" s="70">
        <v>30.77</v>
      </c>
      <c r="K741" s="70">
        <v>5.71</v>
      </c>
      <c r="L741" s="64">
        <f t="shared" si="11"/>
        <v>-110.08</v>
      </c>
    </row>
    <row r="742" spans="1:12" x14ac:dyDescent="0.25">
      <c r="A742" s="65">
        <v>1769</v>
      </c>
      <c r="B742" s="65" t="s">
        <v>229</v>
      </c>
      <c r="C742" s="65" t="s">
        <v>307</v>
      </c>
      <c r="D742" s="65">
        <v>4</v>
      </c>
      <c r="E742" s="65"/>
      <c r="F742" s="70">
        <v>-638.85</v>
      </c>
      <c r="G742" s="70">
        <v>-14.18</v>
      </c>
      <c r="H742" s="70">
        <v>-50.49</v>
      </c>
      <c r="I742" s="70">
        <v>-0.48</v>
      </c>
      <c r="J742" s="70">
        <v>-29.79</v>
      </c>
      <c r="K742" s="70">
        <v>7.6</v>
      </c>
      <c r="L742" s="64">
        <f t="shared" si="11"/>
        <v>638.85</v>
      </c>
    </row>
    <row r="743" spans="1:12" x14ac:dyDescent="0.25">
      <c r="A743" s="65">
        <v>1838</v>
      </c>
      <c r="B743" s="65" t="s">
        <v>229</v>
      </c>
      <c r="C743" s="65" t="s">
        <v>372</v>
      </c>
      <c r="D743" s="65">
        <v>0</v>
      </c>
      <c r="E743" s="65"/>
      <c r="F743" s="70">
        <v>-636.55999999999995</v>
      </c>
      <c r="G743" s="70">
        <v>-14.19</v>
      </c>
      <c r="H743" s="70">
        <v>-50.71</v>
      </c>
      <c r="I743" s="70">
        <v>-0.48</v>
      </c>
      <c r="J743" s="70">
        <v>-38.4</v>
      </c>
      <c r="K743" s="70">
        <v>-6.42</v>
      </c>
      <c r="L743" s="64">
        <f t="shared" si="11"/>
        <v>636.55999999999995</v>
      </c>
    </row>
    <row r="744" spans="1:12" x14ac:dyDescent="0.25">
      <c r="A744" s="65">
        <v>2461</v>
      </c>
      <c r="B744" s="65" t="s">
        <v>229</v>
      </c>
      <c r="C744" s="65" t="s">
        <v>970</v>
      </c>
      <c r="D744" s="65">
        <v>0</v>
      </c>
      <c r="E744" s="65"/>
      <c r="F744" s="70">
        <v>-462.39</v>
      </c>
      <c r="G744" s="70">
        <v>-13.71</v>
      </c>
      <c r="H744" s="70">
        <v>-51.57</v>
      </c>
      <c r="I744" s="70">
        <v>-0.55000000000000004</v>
      </c>
      <c r="J744" s="70">
        <v>-34.200000000000003</v>
      </c>
      <c r="K744" s="70">
        <v>-6.27</v>
      </c>
      <c r="L744" s="64">
        <f t="shared" si="11"/>
        <v>462.39</v>
      </c>
    </row>
    <row r="745" spans="1:12" x14ac:dyDescent="0.25">
      <c r="A745" s="65">
        <v>1787</v>
      </c>
      <c r="B745" s="65" t="s">
        <v>229</v>
      </c>
      <c r="C745" s="65" t="s">
        <v>342</v>
      </c>
      <c r="D745" s="65">
        <v>0</v>
      </c>
      <c r="E745" s="65"/>
      <c r="F745" s="70">
        <v>-459.03</v>
      </c>
      <c r="G745" s="70">
        <v>-13.73</v>
      </c>
      <c r="H745" s="70">
        <v>-52.06</v>
      </c>
      <c r="I745" s="70">
        <v>-0.55000000000000004</v>
      </c>
      <c r="J745" s="70">
        <v>-35.28</v>
      </c>
      <c r="K745" s="70">
        <v>-7.31</v>
      </c>
      <c r="L745" s="64">
        <f t="shared" si="11"/>
        <v>459.03</v>
      </c>
    </row>
    <row r="746" spans="1:12" x14ac:dyDescent="0.25">
      <c r="A746" s="65">
        <v>1786</v>
      </c>
      <c r="B746" s="65" t="s">
        <v>229</v>
      </c>
      <c r="C746" s="65" t="s">
        <v>340</v>
      </c>
      <c r="D746" s="65">
        <v>0</v>
      </c>
      <c r="E746" s="65"/>
      <c r="F746" s="70">
        <v>-354.75</v>
      </c>
      <c r="G746" s="70">
        <v>-13.01</v>
      </c>
      <c r="H746" s="70">
        <v>-52.16</v>
      </c>
      <c r="I746" s="70">
        <v>-0.6</v>
      </c>
      <c r="J746" s="70">
        <v>-35.619999999999997</v>
      </c>
      <c r="K746" s="70">
        <v>-6.92</v>
      </c>
      <c r="L746" s="64">
        <f t="shared" si="11"/>
        <v>354.75</v>
      </c>
    </row>
    <row r="747" spans="1:12" x14ac:dyDescent="0.25">
      <c r="A747" s="65">
        <v>2395</v>
      </c>
      <c r="B747" s="65" t="s">
        <v>229</v>
      </c>
      <c r="C747" s="65" t="s">
        <v>911</v>
      </c>
      <c r="D747" s="65">
        <v>4</v>
      </c>
      <c r="E747" s="65"/>
      <c r="F747" s="70">
        <v>110.1</v>
      </c>
      <c r="G747" s="70">
        <v>-10.8</v>
      </c>
      <c r="H747" s="70">
        <v>-52.19</v>
      </c>
      <c r="I747" s="70">
        <v>-0.67</v>
      </c>
      <c r="J747" s="70">
        <v>31.49</v>
      </c>
      <c r="K747" s="70">
        <v>5.72</v>
      </c>
      <c r="L747" s="64">
        <f t="shared" si="11"/>
        <v>-110.1</v>
      </c>
    </row>
    <row r="748" spans="1:12" x14ac:dyDescent="0.25">
      <c r="A748" s="65">
        <v>1916</v>
      </c>
      <c r="B748" s="65" t="s">
        <v>229</v>
      </c>
      <c r="C748" s="65" t="s">
        <v>456</v>
      </c>
      <c r="D748" s="65">
        <v>0</v>
      </c>
      <c r="E748" s="65"/>
      <c r="F748" s="70">
        <v>511.93</v>
      </c>
      <c r="G748" s="70">
        <v>-7.79</v>
      </c>
      <c r="H748" s="70">
        <v>-52.38</v>
      </c>
      <c r="I748" s="70">
        <v>-0.74</v>
      </c>
      <c r="J748" s="70">
        <v>66.680000000000007</v>
      </c>
      <c r="K748" s="70">
        <v>-3.76</v>
      </c>
      <c r="L748" s="64">
        <f t="shared" si="11"/>
        <v>-511.93</v>
      </c>
    </row>
    <row r="749" spans="1:12" x14ac:dyDescent="0.25">
      <c r="A749" s="65">
        <v>1842</v>
      </c>
      <c r="B749" s="65" t="s">
        <v>229</v>
      </c>
      <c r="C749" s="65" t="s">
        <v>380</v>
      </c>
      <c r="D749" s="65">
        <v>0</v>
      </c>
      <c r="E749" s="65"/>
      <c r="F749" s="70">
        <v>-230.2</v>
      </c>
      <c r="G749" s="70">
        <v>-12.01</v>
      </c>
      <c r="H749" s="70">
        <v>-52.82</v>
      </c>
      <c r="I749" s="70">
        <v>-0.62</v>
      </c>
      <c r="J749" s="70">
        <v>-32.21</v>
      </c>
      <c r="K749" s="70">
        <v>-5.51</v>
      </c>
      <c r="L749" s="64">
        <f t="shared" si="11"/>
        <v>230.2</v>
      </c>
    </row>
    <row r="750" spans="1:12" x14ac:dyDescent="0.25">
      <c r="A750" s="65">
        <v>2390</v>
      </c>
      <c r="B750" s="65" t="s">
        <v>229</v>
      </c>
      <c r="C750" s="65" t="s">
        <v>900</v>
      </c>
      <c r="D750" s="65">
        <v>0</v>
      </c>
      <c r="E750" s="65"/>
      <c r="F750" s="70">
        <v>-638.26</v>
      </c>
      <c r="G750" s="70">
        <v>-14.33</v>
      </c>
      <c r="H750" s="70">
        <v>-52.84</v>
      </c>
      <c r="I750" s="70">
        <v>-0.48</v>
      </c>
      <c r="J750" s="70">
        <v>-39.65</v>
      </c>
      <c r="K750" s="70">
        <v>-6.49</v>
      </c>
      <c r="L750" s="64">
        <f t="shared" si="11"/>
        <v>638.26</v>
      </c>
    </row>
    <row r="751" spans="1:12" x14ac:dyDescent="0.25">
      <c r="A751" s="65">
        <v>2459</v>
      </c>
      <c r="B751" s="65" t="s">
        <v>229</v>
      </c>
      <c r="C751" s="65" t="s">
        <v>967</v>
      </c>
      <c r="D751" s="65">
        <v>4</v>
      </c>
      <c r="E751" s="65"/>
      <c r="F751" s="70">
        <v>-640.95000000000005</v>
      </c>
      <c r="G751" s="70">
        <v>-14.34</v>
      </c>
      <c r="H751" s="70">
        <v>-53.06</v>
      </c>
      <c r="I751" s="70">
        <v>-0.48</v>
      </c>
      <c r="J751" s="70">
        <v>-28.56</v>
      </c>
      <c r="K751" s="70">
        <v>7.68</v>
      </c>
      <c r="L751" s="64">
        <f t="shared" si="11"/>
        <v>640.95000000000005</v>
      </c>
    </row>
    <row r="752" spans="1:12" x14ac:dyDescent="0.25">
      <c r="A752" s="65">
        <v>2139</v>
      </c>
      <c r="B752" s="65" t="s">
        <v>229</v>
      </c>
      <c r="C752" s="65" t="s">
        <v>687</v>
      </c>
      <c r="D752" s="65">
        <v>4</v>
      </c>
      <c r="E752" s="65"/>
      <c r="F752" s="70">
        <v>-678.14</v>
      </c>
      <c r="G752" s="70">
        <v>-7.26</v>
      </c>
      <c r="H752" s="70">
        <v>-53.14</v>
      </c>
      <c r="I752" s="70">
        <v>0.14000000000000001</v>
      </c>
      <c r="J752" s="70">
        <v>-4.4000000000000004</v>
      </c>
      <c r="K752" s="70">
        <v>3.21</v>
      </c>
      <c r="L752" s="64">
        <f t="shared" si="11"/>
        <v>678.14</v>
      </c>
    </row>
    <row r="753" spans="1:12" x14ac:dyDescent="0.25">
      <c r="A753" s="65">
        <v>2330</v>
      </c>
      <c r="B753" s="65" t="s">
        <v>229</v>
      </c>
      <c r="C753" s="65" t="s">
        <v>852</v>
      </c>
      <c r="D753" s="65">
        <v>0</v>
      </c>
      <c r="E753" s="65"/>
      <c r="F753" s="70">
        <v>511.91</v>
      </c>
      <c r="G753" s="70">
        <v>-7.78</v>
      </c>
      <c r="H753" s="70">
        <v>-53.49</v>
      </c>
      <c r="I753" s="70">
        <v>-0.74</v>
      </c>
      <c r="J753" s="70">
        <v>66.17</v>
      </c>
      <c r="K753" s="70">
        <v>-3.75</v>
      </c>
      <c r="L753" s="64">
        <f t="shared" si="11"/>
        <v>-511.91</v>
      </c>
    </row>
    <row r="754" spans="1:12" x14ac:dyDescent="0.25">
      <c r="A754" s="65">
        <v>1913</v>
      </c>
      <c r="B754" s="65" t="s">
        <v>229</v>
      </c>
      <c r="C754" s="65" t="s">
        <v>450</v>
      </c>
      <c r="D754" s="65">
        <v>0</v>
      </c>
      <c r="E754" s="65"/>
      <c r="F754" s="70">
        <v>224.47</v>
      </c>
      <c r="G754" s="70">
        <v>-9.8800000000000008</v>
      </c>
      <c r="H754" s="70">
        <v>-53.54</v>
      </c>
      <c r="I754" s="70">
        <v>-0.69</v>
      </c>
      <c r="J754" s="70">
        <v>25.68</v>
      </c>
      <c r="K754" s="70">
        <v>-4.58</v>
      </c>
      <c r="L754" s="64">
        <f t="shared" si="11"/>
        <v>-224.47</v>
      </c>
    </row>
    <row r="755" spans="1:12" x14ac:dyDescent="0.25">
      <c r="A755" s="65">
        <v>2070</v>
      </c>
      <c r="B755" s="65" t="s">
        <v>229</v>
      </c>
      <c r="C755" s="65" t="s">
        <v>621</v>
      </c>
      <c r="D755" s="65">
        <v>4</v>
      </c>
      <c r="E755" s="65"/>
      <c r="F755" s="70">
        <v>-686.93</v>
      </c>
      <c r="G755" s="70">
        <v>-7.26</v>
      </c>
      <c r="H755" s="70">
        <v>-54.17</v>
      </c>
      <c r="I755" s="70">
        <v>0.14000000000000001</v>
      </c>
      <c r="J755" s="70">
        <v>-4.63</v>
      </c>
      <c r="K755" s="70">
        <v>3.21</v>
      </c>
      <c r="L755" s="64">
        <f t="shared" si="11"/>
        <v>686.93</v>
      </c>
    </row>
    <row r="756" spans="1:12" x14ac:dyDescent="0.25">
      <c r="A756" s="65">
        <v>2477</v>
      </c>
      <c r="B756" s="65" t="s">
        <v>229</v>
      </c>
      <c r="C756" s="65" t="s">
        <v>1002</v>
      </c>
      <c r="D756" s="65">
        <v>0</v>
      </c>
      <c r="E756" s="65"/>
      <c r="F756" s="70">
        <v>-455</v>
      </c>
      <c r="G756" s="70">
        <v>-13.62</v>
      </c>
      <c r="H756" s="70">
        <v>-54.31</v>
      </c>
      <c r="I756" s="70">
        <v>-0.55000000000000004</v>
      </c>
      <c r="J756" s="70">
        <v>-36.54</v>
      </c>
      <c r="K756" s="70">
        <v>-7.26</v>
      </c>
      <c r="L756" s="64">
        <f t="shared" si="11"/>
        <v>455</v>
      </c>
    </row>
    <row r="757" spans="1:12" x14ac:dyDescent="0.25">
      <c r="A757" s="65">
        <v>2208</v>
      </c>
      <c r="B757" s="65" t="s">
        <v>229</v>
      </c>
      <c r="C757" s="65" t="s">
        <v>753</v>
      </c>
      <c r="D757" s="65">
        <v>4</v>
      </c>
      <c r="E757" s="65"/>
      <c r="F757" s="70">
        <v>-686.76</v>
      </c>
      <c r="G757" s="70">
        <v>-7.25</v>
      </c>
      <c r="H757" s="70">
        <v>-54.35</v>
      </c>
      <c r="I757" s="70">
        <v>0.14000000000000001</v>
      </c>
      <c r="J757" s="70">
        <v>-4.63</v>
      </c>
      <c r="K757" s="70">
        <v>3.21</v>
      </c>
      <c r="L757" s="64">
        <f t="shared" si="11"/>
        <v>686.76</v>
      </c>
    </row>
    <row r="758" spans="1:12" x14ac:dyDescent="0.25">
      <c r="A758" s="65">
        <v>1773</v>
      </c>
      <c r="B758" s="65" t="s">
        <v>229</v>
      </c>
      <c r="C758" s="65" t="s">
        <v>315</v>
      </c>
      <c r="D758" s="65">
        <v>4</v>
      </c>
      <c r="E758" s="65"/>
      <c r="F758" s="70">
        <v>-232.31</v>
      </c>
      <c r="G758" s="70">
        <v>-12.01</v>
      </c>
      <c r="H758" s="70">
        <v>-54.48</v>
      </c>
      <c r="I758" s="70">
        <v>-0.62</v>
      </c>
      <c r="J758" s="70">
        <v>-34.01</v>
      </c>
      <c r="K758" s="70">
        <v>6.37</v>
      </c>
      <c r="L758" s="64">
        <f t="shared" si="11"/>
        <v>232.31</v>
      </c>
    </row>
    <row r="759" spans="1:12" x14ac:dyDescent="0.25">
      <c r="A759" s="65">
        <v>2476</v>
      </c>
      <c r="B759" s="65" t="s">
        <v>229</v>
      </c>
      <c r="C759" s="65" t="s">
        <v>1000</v>
      </c>
      <c r="D759" s="65">
        <v>0</v>
      </c>
      <c r="E759" s="65"/>
      <c r="F759" s="70">
        <v>-350.28</v>
      </c>
      <c r="G759" s="70">
        <v>-12.93</v>
      </c>
      <c r="H759" s="70">
        <v>-54.55</v>
      </c>
      <c r="I759" s="70">
        <v>-0.59</v>
      </c>
      <c r="J759" s="70">
        <v>-36.869999999999997</v>
      </c>
      <c r="K759" s="70">
        <v>-6.88</v>
      </c>
      <c r="L759" s="64">
        <f t="shared" si="11"/>
        <v>350.28</v>
      </c>
    </row>
    <row r="760" spans="1:12" x14ac:dyDescent="0.25">
      <c r="A760" s="65">
        <v>2139</v>
      </c>
      <c r="B760" s="65" t="s">
        <v>229</v>
      </c>
      <c r="C760" s="65" t="s">
        <v>686</v>
      </c>
      <c r="D760" s="65">
        <v>0</v>
      </c>
      <c r="E760" s="65"/>
      <c r="F760" s="70">
        <v>-669.04</v>
      </c>
      <c r="G760" s="70">
        <v>-7.26</v>
      </c>
      <c r="H760" s="70">
        <v>-54.56</v>
      </c>
      <c r="I760" s="70">
        <v>0.14000000000000001</v>
      </c>
      <c r="J760" s="70">
        <v>-55.03</v>
      </c>
      <c r="K760" s="70">
        <v>-4.1500000000000004</v>
      </c>
      <c r="L760" s="64">
        <f t="shared" si="11"/>
        <v>669.04</v>
      </c>
    </row>
    <row r="761" spans="1:12" x14ac:dyDescent="0.25">
      <c r="A761" s="65">
        <v>2394</v>
      </c>
      <c r="B761" s="65" t="s">
        <v>229</v>
      </c>
      <c r="C761" s="65" t="s">
        <v>908</v>
      </c>
      <c r="D761" s="65">
        <v>0</v>
      </c>
      <c r="E761" s="65"/>
      <c r="F761" s="70">
        <v>-233.29</v>
      </c>
      <c r="G761" s="70">
        <v>-12.07</v>
      </c>
      <c r="H761" s="70">
        <v>-54.56</v>
      </c>
      <c r="I761" s="70">
        <v>-0.63</v>
      </c>
      <c r="J761" s="70">
        <v>-33.35</v>
      </c>
      <c r="K761" s="70">
        <v>-5.54</v>
      </c>
      <c r="L761" s="64">
        <f t="shared" si="11"/>
        <v>233.29</v>
      </c>
    </row>
    <row r="762" spans="1:12" x14ac:dyDescent="0.25">
      <c r="A762" s="65">
        <v>2327</v>
      </c>
      <c r="B762" s="65" t="s">
        <v>229</v>
      </c>
      <c r="C762" s="65" t="s">
        <v>846</v>
      </c>
      <c r="D762" s="65">
        <v>0</v>
      </c>
      <c r="E762" s="65"/>
      <c r="F762" s="70">
        <v>223.82</v>
      </c>
      <c r="G762" s="70">
        <v>-9.89</v>
      </c>
      <c r="H762" s="70">
        <v>-54.78</v>
      </c>
      <c r="I762" s="70">
        <v>-0.69</v>
      </c>
      <c r="J762" s="70">
        <v>25.19</v>
      </c>
      <c r="K762" s="70">
        <v>-4.58</v>
      </c>
      <c r="L762" s="64">
        <f t="shared" si="11"/>
        <v>-223.82</v>
      </c>
    </row>
    <row r="763" spans="1:12" x14ac:dyDescent="0.25">
      <c r="A763" s="65">
        <v>2070</v>
      </c>
      <c r="B763" s="65" t="s">
        <v>229</v>
      </c>
      <c r="C763" s="65" t="s">
        <v>620</v>
      </c>
      <c r="D763" s="65">
        <v>0</v>
      </c>
      <c r="E763" s="65"/>
      <c r="F763" s="70">
        <v>-677.83</v>
      </c>
      <c r="G763" s="70">
        <v>-7.26</v>
      </c>
      <c r="H763" s="70">
        <v>-55.58</v>
      </c>
      <c r="I763" s="70">
        <v>0.14000000000000001</v>
      </c>
      <c r="J763" s="70">
        <v>-55.49</v>
      </c>
      <c r="K763" s="70">
        <v>-4.1500000000000004</v>
      </c>
      <c r="L763" s="64">
        <f t="shared" si="11"/>
        <v>677.83</v>
      </c>
    </row>
    <row r="764" spans="1:12" x14ac:dyDescent="0.25">
      <c r="A764" s="65">
        <v>1847</v>
      </c>
      <c r="B764" s="65" t="s">
        <v>229</v>
      </c>
      <c r="C764" s="65" t="s">
        <v>391</v>
      </c>
      <c r="D764" s="65">
        <v>4</v>
      </c>
      <c r="E764" s="65"/>
      <c r="F764" s="70">
        <v>513.63</v>
      </c>
      <c r="G764" s="70">
        <v>-7.79</v>
      </c>
      <c r="H764" s="70">
        <v>-55.68</v>
      </c>
      <c r="I764" s="70">
        <v>-0.74</v>
      </c>
      <c r="J764" s="70">
        <v>76.83</v>
      </c>
      <c r="K764" s="70">
        <v>3.95</v>
      </c>
      <c r="L764" s="64">
        <f t="shared" si="11"/>
        <v>-513.63</v>
      </c>
    </row>
    <row r="765" spans="1:12" x14ac:dyDescent="0.25">
      <c r="A765" s="65">
        <v>2208</v>
      </c>
      <c r="B765" s="65" t="s">
        <v>229</v>
      </c>
      <c r="C765" s="65" t="s">
        <v>752</v>
      </c>
      <c r="D765" s="65">
        <v>0</v>
      </c>
      <c r="E765" s="65"/>
      <c r="F765" s="70">
        <v>-677.66</v>
      </c>
      <c r="G765" s="70">
        <v>-7.25</v>
      </c>
      <c r="H765" s="70">
        <v>-55.77</v>
      </c>
      <c r="I765" s="70">
        <v>0.14000000000000001</v>
      </c>
      <c r="J765" s="70">
        <v>-55.47</v>
      </c>
      <c r="K765" s="70">
        <v>-4.1500000000000004</v>
      </c>
      <c r="L765" s="64">
        <f t="shared" si="11"/>
        <v>677.66</v>
      </c>
    </row>
    <row r="766" spans="1:12" x14ac:dyDescent="0.25">
      <c r="A766" s="65">
        <v>1844</v>
      </c>
      <c r="B766" s="65" t="s">
        <v>229</v>
      </c>
      <c r="C766" s="65" t="s">
        <v>385</v>
      </c>
      <c r="D766" s="65">
        <v>4</v>
      </c>
      <c r="E766" s="65"/>
      <c r="F766" s="70">
        <v>226.58</v>
      </c>
      <c r="G766" s="70">
        <v>-9.8800000000000008</v>
      </c>
      <c r="H766" s="70">
        <v>-55.96</v>
      </c>
      <c r="I766" s="70">
        <v>-0.69</v>
      </c>
      <c r="J766" s="70">
        <v>43.92</v>
      </c>
      <c r="K766" s="70">
        <v>5.19</v>
      </c>
      <c r="L766" s="64">
        <f t="shared" si="11"/>
        <v>-226.58</v>
      </c>
    </row>
    <row r="767" spans="1:12" x14ac:dyDescent="0.25">
      <c r="A767" s="65">
        <v>2001</v>
      </c>
      <c r="B767" s="65" t="s">
        <v>229</v>
      </c>
      <c r="C767" s="65" t="s">
        <v>555</v>
      </c>
      <c r="D767" s="65">
        <v>4</v>
      </c>
      <c r="E767" s="65"/>
      <c r="F767" s="70">
        <v>-695.89</v>
      </c>
      <c r="G767" s="70">
        <v>-7.26</v>
      </c>
      <c r="H767" s="70">
        <v>-56.38</v>
      </c>
      <c r="I767" s="70">
        <v>0.14000000000000001</v>
      </c>
      <c r="J767" s="70">
        <v>-5.0599999999999996</v>
      </c>
      <c r="K767" s="70">
        <v>3.21</v>
      </c>
      <c r="L767" s="64">
        <f t="shared" si="11"/>
        <v>695.89</v>
      </c>
    </row>
    <row r="768" spans="1:12" x14ac:dyDescent="0.25">
      <c r="A768" s="65">
        <v>2277</v>
      </c>
      <c r="B768" s="65" t="s">
        <v>229</v>
      </c>
      <c r="C768" s="65" t="s">
        <v>819</v>
      </c>
      <c r="D768" s="65">
        <v>4</v>
      </c>
      <c r="E768" s="65"/>
      <c r="F768" s="70">
        <v>-695.55</v>
      </c>
      <c r="G768" s="70">
        <v>-7.25</v>
      </c>
      <c r="H768" s="70">
        <v>-56.56</v>
      </c>
      <c r="I768" s="70">
        <v>0.14000000000000001</v>
      </c>
      <c r="J768" s="70">
        <v>-5.13</v>
      </c>
      <c r="K768" s="70">
        <v>3.21</v>
      </c>
      <c r="L768" s="64">
        <f t="shared" si="11"/>
        <v>695.55</v>
      </c>
    </row>
    <row r="769" spans="1:12" x14ac:dyDescent="0.25">
      <c r="A769" s="65">
        <v>2463</v>
      </c>
      <c r="B769" s="65" t="s">
        <v>229</v>
      </c>
      <c r="C769" s="65" t="s">
        <v>975</v>
      </c>
      <c r="D769" s="65">
        <v>4</v>
      </c>
      <c r="E769" s="65"/>
      <c r="F769" s="70">
        <v>-235.97</v>
      </c>
      <c r="G769" s="70">
        <v>-12.07</v>
      </c>
      <c r="H769" s="70">
        <v>-56.68</v>
      </c>
      <c r="I769" s="70">
        <v>-0.63</v>
      </c>
      <c r="J769" s="70">
        <v>-32.76</v>
      </c>
      <c r="K769" s="70">
        <v>6.4</v>
      </c>
      <c r="L769" s="64">
        <f t="shared" si="11"/>
        <v>235.97</v>
      </c>
    </row>
    <row r="770" spans="1:12" x14ac:dyDescent="0.25">
      <c r="A770" s="65">
        <v>1914</v>
      </c>
      <c r="B770" s="65" t="s">
        <v>229</v>
      </c>
      <c r="C770" s="65" t="s">
        <v>452</v>
      </c>
      <c r="D770" s="65">
        <v>0</v>
      </c>
      <c r="E770" s="65"/>
      <c r="F770" s="70">
        <v>344.21</v>
      </c>
      <c r="G770" s="70">
        <v>-8.99</v>
      </c>
      <c r="H770" s="70">
        <v>-56.85</v>
      </c>
      <c r="I770" s="70">
        <v>-0.72</v>
      </c>
      <c r="J770" s="70">
        <v>39.53</v>
      </c>
      <c r="K770" s="70">
        <v>-4.2</v>
      </c>
      <c r="L770" s="64">
        <f t="shared" si="11"/>
        <v>-344.21</v>
      </c>
    </row>
    <row r="771" spans="1:12" x14ac:dyDescent="0.25">
      <c r="A771" s="65">
        <v>1772</v>
      </c>
      <c r="B771" s="65" t="s">
        <v>229</v>
      </c>
      <c r="C771" s="65" t="s">
        <v>312</v>
      </c>
      <c r="D771" s="65">
        <v>0</v>
      </c>
      <c r="E771" s="65"/>
      <c r="F771" s="70">
        <v>-353.48</v>
      </c>
      <c r="G771" s="70">
        <v>-12.94</v>
      </c>
      <c r="H771" s="70">
        <v>-57.07</v>
      </c>
      <c r="I771" s="70">
        <v>-0.59</v>
      </c>
      <c r="J771" s="70">
        <v>-37.200000000000003</v>
      </c>
      <c r="K771" s="70">
        <v>-5.92</v>
      </c>
      <c r="L771" s="64">
        <f t="shared" ref="L771:L834" si="12">F771*-1</f>
        <v>353.48</v>
      </c>
    </row>
    <row r="772" spans="1:12" x14ac:dyDescent="0.25">
      <c r="A772" s="65">
        <v>1915</v>
      </c>
      <c r="B772" s="65" t="s">
        <v>229</v>
      </c>
      <c r="C772" s="65" t="s">
        <v>454</v>
      </c>
      <c r="D772" s="65">
        <v>0</v>
      </c>
      <c r="E772" s="65"/>
      <c r="F772" s="70">
        <v>444.53</v>
      </c>
      <c r="G772" s="70">
        <v>-8.35</v>
      </c>
      <c r="H772" s="70">
        <v>-57.11</v>
      </c>
      <c r="I772" s="70">
        <v>-0.72</v>
      </c>
      <c r="J772" s="70">
        <v>54.07</v>
      </c>
      <c r="K772" s="70">
        <v>-3.96</v>
      </c>
      <c r="L772" s="64">
        <f t="shared" si="12"/>
        <v>-444.53</v>
      </c>
    </row>
    <row r="773" spans="1:12" x14ac:dyDescent="0.25">
      <c r="A773" s="65">
        <v>2399</v>
      </c>
      <c r="B773" s="65" t="s">
        <v>229</v>
      </c>
      <c r="C773" s="65" t="s">
        <v>919</v>
      </c>
      <c r="D773" s="65">
        <v>4</v>
      </c>
      <c r="E773" s="65"/>
      <c r="F773" s="70">
        <v>513.61</v>
      </c>
      <c r="G773" s="70">
        <v>-7.78</v>
      </c>
      <c r="H773" s="70">
        <v>-57.15</v>
      </c>
      <c r="I773" s="70">
        <v>-0.74</v>
      </c>
      <c r="J773" s="70">
        <v>77.489999999999995</v>
      </c>
      <c r="K773" s="70">
        <v>3.95</v>
      </c>
      <c r="L773" s="64">
        <f t="shared" si="12"/>
        <v>-513.61</v>
      </c>
    </row>
    <row r="774" spans="1:12" x14ac:dyDescent="0.25">
      <c r="A774" s="65">
        <v>2396</v>
      </c>
      <c r="B774" s="65" t="s">
        <v>229</v>
      </c>
      <c r="C774" s="65" t="s">
        <v>913</v>
      </c>
      <c r="D774" s="65">
        <v>4</v>
      </c>
      <c r="E774" s="65"/>
      <c r="F774" s="70">
        <v>226.1</v>
      </c>
      <c r="G774" s="70">
        <v>-9.89</v>
      </c>
      <c r="H774" s="70">
        <v>-57.62</v>
      </c>
      <c r="I774" s="70">
        <v>-0.69</v>
      </c>
      <c r="J774" s="70">
        <v>44.64</v>
      </c>
      <c r="K774" s="70">
        <v>5.2</v>
      </c>
      <c r="L774" s="64">
        <f t="shared" si="12"/>
        <v>-226.1</v>
      </c>
    </row>
    <row r="775" spans="1:12" x14ac:dyDescent="0.25">
      <c r="A775" s="65">
        <v>2001</v>
      </c>
      <c r="B775" s="65" t="s">
        <v>229</v>
      </c>
      <c r="C775" s="65" t="s">
        <v>554</v>
      </c>
      <c r="D775" s="65">
        <v>0</v>
      </c>
      <c r="E775" s="65"/>
      <c r="F775" s="70">
        <v>-686.79</v>
      </c>
      <c r="G775" s="70">
        <v>-7.26</v>
      </c>
      <c r="H775" s="70">
        <v>-57.8</v>
      </c>
      <c r="I775" s="70">
        <v>0.14000000000000001</v>
      </c>
      <c r="J775" s="70">
        <v>-55.99</v>
      </c>
      <c r="K775" s="70">
        <v>-4.1500000000000004</v>
      </c>
      <c r="L775" s="64">
        <f t="shared" si="12"/>
        <v>686.79</v>
      </c>
    </row>
    <row r="776" spans="1:12" x14ac:dyDescent="0.25">
      <c r="A776" s="65">
        <v>2277</v>
      </c>
      <c r="B776" s="65" t="s">
        <v>229</v>
      </c>
      <c r="C776" s="65" t="s">
        <v>818</v>
      </c>
      <c r="D776" s="65">
        <v>0</v>
      </c>
      <c r="E776" s="65"/>
      <c r="F776" s="70">
        <v>-686.44</v>
      </c>
      <c r="G776" s="70">
        <v>-7.25</v>
      </c>
      <c r="H776" s="70">
        <v>-57.98</v>
      </c>
      <c r="I776" s="70">
        <v>0.14000000000000001</v>
      </c>
      <c r="J776" s="70">
        <v>-55.94</v>
      </c>
      <c r="K776" s="70">
        <v>-4.1399999999999997</v>
      </c>
      <c r="L776" s="64">
        <f t="shared" si="12"/>
        <v>686.44</v>
      </c>
    </row>
    <row r="777" spans="1:12" x14ac:dyDescent="0.25">
      <c r="A777" s="65">
        <v>2328</v>
      </c>
      <c r="B777" s="65" t="s">
        <v>229</v>
      </c>
      <c r="C777" s="65" t="s">
        <v>848</v>
      </c>
      <c r="D777" s="65">
        <v>0</v>
      </c>
      <c r="E777" s="65"/>
      <c r="F777" s="70">
        <v>344.18</v>
      </c>
      <c r="G777" s="70">
        <v>-8.98</v>
      </c>
      <c r="H777" s="70">
        <v>-58.08</v>
      </c>
      <c r="I777" s="70">
        <v>-0.72</v>
      </c>
      <c r="J777" s="70">
        <v>39.07</v>
      </c>
      <c r="K777" s="70">
        <v>-4.2</v>
      </c>
      <c r="L777" s="64">
        <f t="shared" si="12"/>
        <v>-344.18</v>
      </c>
    </row>
    <row r="778" spans="1:12" x14ac:dyDescent="0.25">
      <c r="A778" s="65">
        <v>2329</v>
      </c>
      <c r="B778" s="65" t="s">
        <v>229</v>
      </c>
      <c r="C778" s="65" t="s">
        <v>850</v>
      </c>
      <c r="D778" s="65">
        <v>0</v>
      </c>
      <c r="E778" s="65"/>
      <c r="F778" s="70">
        <v>444.5</v>
      </c>
      <c r="G778" s="70">
        <v>-8.34</v>
      </c>
      <c r="H778" s="70">
        <v>-58.28</v>
      </c>
      <c r="I778" s="70">
        <v>-0.72</v>
      </c>
      <c r="J778" s="70">
        <v>53.59</v>
      </c>
      <c r="K778" s="70">
        <v>-3.95</v>
      </c>
      <c r="L778" s="64">
        <f t="shared" si="12"/>
        <v>-444.5</v>
      </c>
    </row>
    <row r="779" spans="1:12" x14ac:dyDescent="0.25">
      <c r="A779" s="65">
        <v>1932</v>
      </c>
      <c r="B779" s="65" t="s">
        <v>229</v>
      </c>
      <c r="C779" s="65" t="s">
        <v>489</v>
      </c>
      <c r="D779" s="65">
        <v>4</v>
      </c>
      <c r="E779" s="65"/>
      <c r="F779" s="70">
        <v>-705.14</v>
      </c>
      <c r="G779" s="70">
        <v>-7.26</v>
      </c>
      <c r="H779" s="70">
        <v>-58.61</v>
      </c>
      <c r="I779" s="70">
        <v>0.14000000000000001</v>
      </c>
      <c r="J779" s="70">
        <v>-5.71</v>
      </c>
      <c r="K779" s="70">
        <v>3.21</v>
      </c>
      <c r="L779" s="64">
        <f t="shared" si="12"/>
        <v>705.14</v>
      </c>
    </row>
    <row r="780" spans="1:12" x14ac:dyDescent="0.25">
      <c r="A780" s="65">
        <v>2346</v>
      </c>
      <c r="B780" s="65" t="s">
        <v>229</v>
      </c>
      <c r="C780" s="65" t="s">
        <v>885</v>
      </c>
      <c r="D780" s="65">
        <v>4</v>
      </c>
      <c r="E780" s="65"/>
      <c r="F780" s="70">
        <v>-704.45</v>
      </c>
      <c r="G780" s="70">
        <v>-7.25</v>
      </c>
      <c r="H780" s="70">
        <v>-58.77</v>
      </c>
      <c r="I780" s="70">
        <v>0.14000000000000001</v>
      </c>
      <c r="J780" s="70">
        <v>-5.88</v>
      </c>
      <c r="K780" s="70">
        <v>3.21</v>
      </c>
      <c r="L780" s="64">
        <f t="shared" si="12"/>
        <v>704.45</v>
      </c>
    </row>
    <row r="781" spans="1:12" x14ac:dyDescent="0.25">
      <c r="A781" s="65">
        <v>1769</v>
      </c>
      <c r="B781" s="65" t="s">
        <v>229</v>
      </c>
      <c r="C781" s="65" t="s">
        <v>306</v>
      </c>
      <c r="D781" s="65">
        <v>0</v>
      </c>
      <c r="E781" s="65"/>
      <c r="F781" s="70">
        <v>-642.75</v>
      </c>
      <c r="G781" s="70">
        <v>-14.18</v>
      </c>
      <c r="H781" s="70">
        <v>-58.85</v>
      </c>
      <c r="I781" s="70">
        <v>-0.48</v>
      </c>
      <c r="J781" s="70">
        <v>-42</v>
      </c>
      <c r="K781" s="70">
        <v>-6.42</v>
      </c>
      <c r="L781" s="64">
        <f t="shared" si="12"/>
        <v>642.75</v>
      </c>
    </row>
    <row r="782" spans="1:12" x14ac:dyDescent="0.25">
      <c r="A782" s="65">
        <v>1848</v>
      </c>
      <c r="B782" s="65" t="s">
        <v>229</v>
      </c>
      <c r="C782" s="65" t="s">
        <v>392</v>
      </c>
      <c r="D782" s="65">
        <v>0</v>
      </c>
      <c r="E782" s="65"/>
      <c r="F782" s="70">
        <v>537.39</v>
      </c>
      <c r="G782" s="70">
        <v>-7.51</v>
      </c>
      <c r="H782" s="70">
        <v>-59.12</v>
      </c>
      <c r="I782" s="70">
        <v>-0.74</v>
      </c>
      <c r="J782" s="70">
        <v>78.08</v>
      </c>
      <c r="K782" s="70">
        <v>-3.75</v>
      </c>
      <c r="L782" s="64">
        <f t="shared" si="12"/>
        <v>-537.39</v>
      </c>
    </row>
    <row r="783" spans="1:12" x14ac:dyDescent="0.25">
      <c r="A783" s="65">
        <v>1843</v>
      </c>
      <c r="B783" s="65" t="s">
        <v>229</v>
      </c>
      <c r="C783" s="65" t="s">
        <v>382</v>
      </c>
      <c r="D783" s="65">
        <v>0</v>
      </c>
      <c r="E783" s="65"/>
      <c r="F783" s="70">
        <v>108.19</v>
      </c>
      <c r="G783" s="70">
        <v>-10.78</v>
      </c>
      <c r="H783" s="70">
        <v>-59.19</v>
      </c>
      <c r="I783" s="70">
        <v>-0.67</v>
      </c>
      <c r="J783" s="70">
        <v>-29.03</v>
      </c>
      <c r="K783" s="70">
        <v>-4.96</v>
      </c>
      <c r="L783" s="64">
        <f t="shared" si="12"/>
        <v>-108.19</v>
      </c>
    </row>
    <row r="784" spans="1:12" x14ac:dyDescent="0.25">
      <c r="A784" s="65">
        <v>2462</v>
      </c>
      <c r="B784" s="65" t="s">
        <v>229</v>
      </c>
      <c r="C784" s="65" t="s">
        <v>972</v>
      </c>
      <c r="D784" s="65">
        <v>0</v>
      </c>
      <c r="E784" s="65"/>
      <c r="F784" s="70">
        <v>-357.89</v>
      </c>
      <c r="G784" s="70">
        <v>-13.02</v>
      </c>
      <c r="H784" s="70">
        <v>-59.32</v>
      </c>
      <c r="I784" s="70">
        <v>-0.59</v>
      </c>
      <c r="J784" s="70">
        <v>-38.58</v>
      </c>
      <c r="K784" s="70">
        <v>-5.96</v>
      </c>
      <c r="L784" s="64">
        <f t="shared" si="12"/>
        <v>357.89</v>
      </c>
    </row>
    <row r="785" spans="1:12" x14ac:dyDescent="0.25">
      <c r="A785" s="65">
        <v>1845</v>
      </c>
      <c r="B785" s="65" t="s">
        <v>229</v>
      </c>
      <c r="C785" s="65" t="s">
        <v>387</v>
      </c>
      <c r="D785" s="65">
        <v>4</v>
      </c>
      <c r="E785" s="65"/>
      <c r="F785" s="70">
        <v>345.38</v>
      </c>
      <c r="G785" s="70">
        <v>-8.98</v>
      </c>
      <c r="H785" s="70">
        <v>-59.94</v>
      </c>
      <c r="I785" s="70">
        <v>-0.72</v>
      </c>
      <c r="J785" s="70">
        <v>57.25</v>
      </c>
      <c r="K785" s="70">
        <v>4.6900000000000004</v>
      </c>
      <c r="L785" s="64">
        <f t="shared" si="12"/>
        <v>-345.38</v>
      </c>
    </row>
    <row r="786" spans="1:12" x14ac:dyDescent="0.25">
      <c r="A786" s="65">
        <v>1932</v>
      </c>
      <c r="B786" s="65" t="s">
        <v>229</v>
      </c>
      <c r="C786" s="65" t="s">
        <v>488</v>
      </c>
      <c r="D786" s="65">
        <v>0</v>
      </c>
      <c r="E786" s="65"/>
      <c r="F786" s="70">
        <v>-696.04</v>
      </c>
      <c r="G786" s="70">
        <v>-7.26</v>
      </c>
      <c r="H786" s="70">
        <v>-60.03</v>
      </c>
      <c r="I786" s="70">
        <v>0.14000000000000001</v>
      </c>
      <c r="J786" s="70">
        <v>-56.49</v>
      </c>
      <c r="K786" s="70">
        <v>-4.1500000000000004</v>
      </c>
      <c r="L786" s="64">
        <f t="shared" si="12"/>
        <v>696.04</v>
      </c>
    </row>
    <row r="787" spans="1:12" x14ac:dyDescent="0.25">
      <c r="A787" s="65">
        <v>2346</v>
      </c>
      <c r="B787" s="65" t="s">
        <v>229</v>
      </c>
      <c r="C787" s="65" t="s">
        <v>884</v>
      </c>
      <c r="D787" s="65">
        <v>0</v>
      </c>
      <c r="E787" s="65"/>
      <c r="F787" s="70">
        <v>-695.34</v>
      </c>
      <c r="G787" s="70">
        <v>-7.25</v>
      </c>
      <c r="H787" s="70">
        <v>-60.19</v>
      </c>
      <c r="I787" s="70">
        <v>0.14000000000000001</v>
      </c>
      <c r="J787" s="70">
        <v>-56.45</v>
      </c>
      <c r="K787" s="70">
        <v>-4.1399999999999997</v>
      </c>
      <c r="L787" s="64">
        <f t="shared" si="12"/>
        <v>695.34</v>
      </c>
    </row>
    <row r="788" spans="1:12" x14ac:dyDescent="0.25">
      <c r="A788" s="65">
        <v>1846</v>
      </c>
      <c r="B788" s="65" t="s">
        <v>229</v>
      </c>
      <c r="C788" s="65" t="s">
        <v>389</v>
      </c>
      <c r="D788" s="65">
        <v>4</v>
      </c>
      <c r="E788" s="65"/>
      <c r="F788" s="70">
        <v>446.27</v>
      </c>
      <c r="G788" s="70">
        <v>-8.34</v>
      </c>
      <c r="H788" s="70">
        <v>-60.32</v>
      </c>
      <c r="I788" s="70">
        <v>-0.72</v>
      </c>
      <c r="J788" s="70">
        <v>69.53</v>
      </c>
      <c r="K788" s="70">
        <v>4.3</v>
      </c>
      <c r="L788" s="64">
        <f t="shared" si="12"/>
        <v>-446.27</v>
      </c>
    </row>
    <row r="789" spans="1:12" x14ac:dyDescent="0.25">
      <c r="A789" s="65">
        <v>2400</v>
      </c>
      <c r="B789" s="65" t="s">
        <v>229</v>
      </c>
      <c r="C789" s="65" t="s">
        <v>920</v>
      </c>
      <c r="D789" s="65">
        <v>0</v>
      </c>
      <c r="E789" s="65"/>
      <c r="F789" s="70">
        <v>537.38</v>
      </c>
      <c r="G789" s="70">
        <v>-7.51</v>
      </c>
      <c r="H789" s="70">
        <v>-60.51</v>
      </c>
      <c r="I789" s="70">
        <v>-0.74</v>
      </c>
      <c r="J789" s="70">
        <v>77.430000000000007</v>
      </c>
      <c r="K789" s="70">
        <v>-3.74</v>
      </c>
      <c r="L789" s="64">
        <f t="shared" si="12"/>
        <v>-537.38</v>
      </c>
    </row>
    <row r="790" spans="1:12" x14ac:dyDescent="0.25">
      <c r="A790" s="65">
        <v>1863</v>
      </c>
      <c r="B790" s="65" t="s">
        <v>229</v>
      </c>
      <c r="C790" s="65" t="s">
        <v>423</v>
      </c>
      <c r="D790" s="65">
        <v>4</v>
      </c>
      <c r="E790" s="65"/>
      <c r="F790" s="70">
        <v>-714.4</v>
      </c>
      <c r="G790" s="70">
        <v>-7.26</v>
      </c>
      <c r="H790" s="70">
        <v>-60.84</v>
      </c>
      <c r="I790" s="70">
        <v>0.14000000000000001</v>
      </c>
      <c r="J790" s="70">
        <v>-6.52</v>
      </c>
      <c r="K790" s="70">
        <v>3.21</v>
      </c>
      <c r="L790" s="64">
        <f t="shared" si="12"/>
        <v>714.4</v>
      </c>
    </row>
    <row r="791" spans="1:12" x14ac:dyDescent="0.25">
      <c r="A791" s="65">
        <v>2415</v>
      </c>
      <c r="B791" s="65" t="s">
        <v>229</v>
      </c>
      <c r="C791" s="65" t="s">
        <v>951</v>
      </c>
      <c r="D791" s="65">
        <v>4</v>
      </c>
      <c r="E791" s="65"/>
      <c r="F791" s="70">
        <v>-713.42</v>
      </c>
      <c r="G791" s="70">
        <v>-7.25</v>
      </c>
      <c r="H791" s="70">
        <v>-60.98</v>
      </c>
      <c r="I791" s="70">
        <v>0.14000000000000001</v>
      </c>
      <c r="J791" s="70">
        <v>-6.8</v>
      </c>
      <c r="K791" s="70">
        <v>3.21</v>
      </c>
      <c r="L791" s="64">
        <f t="shared" si="12"/>
        <v>713.42</v>
      </c>
    </row>
    <row r="792" spans="1:12" x14ac:dyDescent="0.25">
      <c r="A792" s="65">
        <v>2395</v>
      </c>
      <c r="B792" s="65" t="s">
        <v>229</v>
      </c>
      <c r="C792" s="65" t="s">
        <v>910</v>
      </c>
      <c r="D792" s="65">
        <v>0</v>
      </c>
      <c r="E792" s="65"/>
      <c r="F792" s="70">
        <v>108.21</v>
      </c>
      <c r="G792" s="70">
        <v>-10.8</v>
      </c>
      <c r="H792" s="70">
        <v>-61.22</v>
      </c>
      <c r="I792" s="70">
        <v>-0.67</v>
      </c>
      <c r="J792" s="70">
        <v>-30.08</v>
      </c>
      <c r="K792" s="70">
        <v>-4.97</v>
      </c>
      <c r="L792" s="64">
        <f t="shared" si="12"/>
        <v>-108.21</v>
      </c>
    </row>
    <row r="793" spans="1:12" x14ac:dyDescent="0.25">
      <c r="A793" s="65">
        <v>1774</v>
      </c>
      <c r="B793" s="65" t="s">
        <v>229</v>
      </c>
      <c r="C793" s="65" t="s">
        <v>317</v>
      </c>
      <c r="D793" s="65">
        <v>4</v>
      </c>
      <c r="E793" s="65"/>
      <c r="F793" s="70">
        <v>110.29</v>
      </c>
      <c r="G793" s="70">
        <v>-10.78</v>
      </c>
      <c r="H793" s="70">
        <v>-61.33</v>
      </c>
      <c r="I793" s="70">
        <v>-0.67</v>
      </c>
      <c r="J793" s="70">
        <v>35.979999999999997</v>
      </c>
      <c r="K793" s="70">
        <v>5.7</v>
      </c>
      <c r="L793" s="64">
        <f t="shared" si="12"/>
        <v>-110.29</v>
      </c>
    </row>
    <row r="794" spans="1:12" x14ac:dyDescent="0.25">
      <c r="A794" s="65">
        <v>2459</v>
      </c>
      <c r="B794" s="65" t="s">
        <v>229</v>
      </c>
      <c r="C794" s="65" t="s">
        <v>966</v>
      </c>
      <c r="D794" s="65">
        <v>0</v>
      </c>
      <c r="E794" s="65"/>
      <c r="F794" s="70">
        <v>-644.84</v>
      </c>
      <c r="G794" s="70">
        <v>-14.34</v>
      </c>
      <c r="H794" s="70">
        <v>-61.42</v>
      </c>
      <c r="I794" s="70">
        <v>-0.48</v>
      </c>
      <c r="J794" s="70">
        <v>-43.46</v>
      </c>
      <c r="K794" s="70">
        <v>-6.49</v>
      </c>
      <c r="L794" s="64">
        <f t="shared" si="12"/>
        <v>644.84</v>
      </c>
    </row>
    <row r="795" spans="1:12" x14ac:dyDescent="0.25">
      <c r="A795" s="65">
        <v>2397</v>
      </c>
      <c r="B795" s="65" t="s">
        <v>229</v>
      </c>
      <c r="C795" s="65" t="s">
        <v>915</v>
      </c>
      <c r="D795" s="65">
        <v>4</v>
      </c>
      <c r="E795" s="65"/>
      <c r="F795" s="70">
        <v>345.33</v>
      </c>
      <c r="G795" s="70">
        <v>-8.98</v>
      </c>
      <c r="H795" s="70">
        <v>-61.58</v>
      </c>
      <c r="I795" s="70">
        <v>-0.72</v>
      </c>
      <c r="J795" s="70">
        <v>58</v>
      </c>
      <c r="K795" s="70">
        <v>4.6900000000000004</v>
      </c>
      <c r="L795" s="64">
        <f t="shared" si="12"/>
        <v>-345.33</v>
      </c>
    </row>
    <row r="796" spans="1:12" x14ac:dyDescent="0.25">
      <c r="A796" s="65">
        <v>2398</v>
      </c>
      <c r="B796" s="65" t="s">
        <v>229</v>
      </c>
      <c r="C796" s="65" t="s">
        <v>917</v>
      </c>
      <c r="D796" s="65">
        <v>4</v>
      </c>
      <c r="E796" s="65"/>
      <c r="F796" s="70">
        <v>446.24</v>
      </c>
      <c r="G796" s="70">
        <v>-8.34</v>
      </c>
      <c r="H796" s="70">
        <v>-61.88</v>
      </c>
      <c r="I796" s="70">
        <v>-0.72</v>
      </c>
      <c r="J796" s="70">
        <v>70.19</v>
      </c>
      <c r="K796" s="70">
        <v>4.3</v>
      </c>
      <c r="L796" s="64">
        <f t="shared" si="12"/>
        <v>-446.24</v>
      </c>
    </row>
    <row r="797" spans="1:12" x14ac:dyDescent="0.25">
      <c r="A797" s="65">
        <v>1863</v>
      </c>
      <c r="B797" s="65" t="s">
        <v>229</v>
      </c>
      <c r="C797" s="65" t="s">
        <v>422</v>
      </c>
      <c r="D797" s="65">
        <v>0</v>
      </c>
      <c r="E797" s="65"/>
      <c r="F797" s="70">
        <v>-705.29</v>
      </c>
      <c r="G797" s="70">
        <v>-7.26</v>
      </c>
      <c r="H797" s="70">
        <v>-62.26</v>
      </c>
      <c r="I797" s="70">
        <v>0.14000000000000001</v>
      </c>
      <c r="J797" s="70">
        <v>-57.02</v>
      </c>
      <c r="K797" s="70">
        <v>-4.1500000000000004</v>
      </c>
      <c r="L797" s="64">
        <f t="shared" si="12"/>
        <v>705.29</v>
      </c>
    </row>
    <row r="798" spans="1:12" x14ac:dyDescent="0.25">
      <c r="A798" s="65">
        <v>2415</v>
      </c>
      <c r="B798" s="65" t="s">
        <v>229</v>
      </c>
      <c r="C798" s="65" t="s">
        <v>950</v>
      </c>
      <c r="D798" s="65">
        <v>0</v>
      </c>
      <c r="E798" s="65"/>
      <c r="F798" s="70">
        <v>-704.32</v>
      </c>
      <c r="G798" s="70">
        <v>-7.25</v>
      </c>
      <c r="H798" s="70">
        <v>-62.39</v>
      </c>
      <c r="I798" s="70">
        <v>0.14000000000000001</v>
      </c>
      <c r="J798" s="70">
        <v>-57.01</v>
      </c>
      <c r="K798" s="70">
        <v>-4.1399999999999997</v>
      </c>
      <c r="L798" s="64">
        <f t="shared" si="12"/>
        <v>704.32</v>
      </c>
    </row>
    <row r="799" spans="1:12" x14ac:dyDescent="0.25">
      <c r="A799" s="65">
        <v>1794</v>
      </c>
      <c r="B799" s="65" t="s">
        <v>229</v>
      </c>
      <c r="C799" s="65" t="s">
        <v>357</v>
      </c>
      <c r="D799" s="65">
        <v>4</v>
      </c>
      <c r="E799" s="65"/>
      <c r="F799" s="70">
        <v>-723.74</v>
      </c>
      <c r="G799" s="70">
        <v>-7.26</v>
      </c>
      <c r="H799" s="70">
        <v>-63.07</v>
      </c>
      <c r="I799" s="70">
        <v>0.14000000000000001</v>
      </c>
      <c r="J799" s="70">
        <v>-7.44</v>
      </c>
      <c r="K799" s="70">
        <v>3.21</v>
      </c>
      <c r="L799" s="64">
        <f t="shared" si="12"/>
        <v>723.74</v>
      </c>
    </row>
    <row r="800" spans="1:12" x14ac:dyDescent="0.25">
      <c r="A800" s="65">
        <v>2484</v>
      </c>
      <c r="B800" s="65" t="s">
        <v>229</v>
      </c>
      <c r="C800" s="65" t="s">
        <v>1017</v>
      </c>
      <c r="D800" s="65">
        <v>4</v>
      </c>
      <c r="E800" s="65"/>
      <c r="F800" s="70">
        <v>-722.63</v>
      </c>
      <c r="G800" s="70">
        <v>-7.25</v>
      </c>
      <c r="H800" s="70">
        <v>-63.18</v>
      </c>
      <c r="I800" s="70">
        <v>0.14000000000000001</v>
      </c>
      <c r="J800" s="70">
        <v>-7.8</v>
      </c>
      <c r="K800" s="70">
        <v>3.21</v>
      </c>
      <c r="L800" s="64">
        <f t="shared" si="12"/>
        <v>722.63</v>
      </c>
    </row>
    <row r="801" spans="1:12" x14ac:dyDescent="0.25">
      <c r="A801" s="65">
        <v>1773</v>
      </c>
      <c r="B801" s="65" t="s">
        <v>229</v>
      </c>
      <c r="C801" s="65" t="s">
        <v>314</v>
      </c>
      <c r="D801" s="65">
        <v>0</v>
      </c>
      <c r="E801" s="65"/>
      <c r="F801" s="70">
        <v>-234.57</v>
      </c>
      <c r="G801" s="70">
        <v>-12.01</v>
      </c>
      <c r="H801" s="70">
        <v>-63.43</v>
      </c>
      <c r="I801" s="70">
        <v>-0.62</v>
      </c>
      <c r="J801" s="70">
        <v>-37.299999999999997</v>
      </c>
      <c r="K801" s="70">
        <v>-5.51</v>
      </c>
      <c r="L801" s="64">
        <f t="shared" si="12"/>
        <v>234.57</v>
      </c>
    </row>
    <row r="802" spans="1:12" x14ac:dyDescent="0.25">
      <c r="A802" s="65">
        <v>2464</v>
      </c>
      <c r="B802" s="65" t="s">
        <v>229</v>
      </c>
      <c r="C802" s="65" t="s">
        <v>977</v>
      </c>
      <c r="D802" s="65">
        <v>4</v>
      </c>
      <c r="E802" s="65"/>
      <c r="F802" s="70">
        <v>110.29</v>
      </c>
      <c r="G802" s="70">
        <v>-10.8</v>
      </c>
      <c r="H802" s="70">
        <v>-63.53</v>
      </c>
      <c r="I802" s="70">
        <v>-0.67</v>
      </c>
      <c r="J802" s="70">
        <v>36.93</v>
      </c>
      <c r="K802" s="70">
        <v>5.72</v>
      </c>
      <c r="L802" s="64">
        <f t="shared" si="12"/>
        <v>-110.29</v>
      </c>
    </row>
    <row r="803" spans="1:12" x14ac:dyDescent="0.25">
      <c r="A803" s="65">
        <v>1794</v>
      </c>
      <c r="B803" s="65" t="s">
        <v>229</v>
      </c>
      <c r="C803" s="65" t="s">
        <v>356</v>
      </c>
      <c r="D803" s="65">
        <v>0</v>
      </c>
      <c r="E803" s="65"/>
      <c r="F803" s="70">
        <v>-714.64</v>
      </c>
      <c r="G803" s="70">
        <v>-7.26</v>
      </c>
      <c r="H803" s="70">
        <v>-64.489999999999995</v>
      </c>
      <c r="I803" s="70">
        <v>0.14000000000000001</v>
      </c>
      <c r="J803" s="70">
        <v>-57.57</v>
      </c>
      <c r="K803" s="70">
        <v>-4.1500000000000004</v>
      </c>
      <c r="L803" s="64">
        <f t="shared" si="12"/>
        <v>714.64</v>
      </c>
    </row>
    <row r="804" spans="1:12" x14ac:dyDescent="0.25">
      <c r="A804" s="65">
        <v>2484</v>
      </c>
      <c r="B804" s="65" t="s">
        <v>229</v>
      </c>
      <c r="C804" s="65" t="s">
        <v>1016</v>
      </c>
      <c r="D804" s="65">
        <v>0</v>
      </c>
      <c r="E804" s="65"/>
      <c r="F804" s="70">
        <v>-713.53</v>
      </c>
      <c r="G804" s="70">
        <v>-7.25</v>
      </c>
      <c r="H804" s="70">
        <v>-64.599999999999994</v>
      </c>
      <c r="I804" s="70">
        <v>0.14000000000000001</v>
      </c>
      <c r="J804" s="70">
        <v>-57.62</v>
      </c>
      <c r="K804" s="70">
        <v>-4.1399999999999997</v>
      </c>
      <c r="L804" s="64">
        <f t="shared" si="12"/>
        <v>713.53</v>
      </c>
    </row>
    <row r="805" spans="1:12" x14ac:dyDescent="0.25">
      <c r="A805" s="65">
        <v>1847</v>
      </c>
      <c r="B805" s="65" t="s">
        <v>229</v>
      </c>
      <c r="C805" s="65" t="s">
        <v>390</v>
      </c>
      <c r="D805" s="65">
        <v>0</v>
      </c>
      <c r="E805" s="65"/>
      <c r="F805" s="70">
        <v>513.25</v>
      </c>
      <c r="G805" s="70">
        <v>-7.79</v>
      </c>
      <c r="H805" s="70">
        <v>-64.900000000000006</v>
      </c>
      <c r="I805" s="70">
        <v>-0.74</v>
      </c>
      <c r="J805" s="70">
        <v>71.77</v>
      </c>
      <c r="K805" s="70">
        <v>-3.76</v>
      </c>
      <c r="L805" s="64">
        <f t="shared" si="12"/>
        <v>-513.25</v>
      </c>
    </row>
    <row r="806" spans="1:12" x14ac:dyDescent="0.25">
      <c r="A806" s="65">
        <v>1844</v>
      </c>
      <c r="B806" s="65" t="s">
        <v>229</v>
      </c>
      <c r="C806" s="65" t="s">
        <v>384</v>
      </c>
      <c r="D806" s="65">
        <v>0</v>
      </c>
      <c r="E806" s="65"/>
      <c r="F806" s="70">
        <v>225.06</v>
      </c>
      <c r="G806" s="70">
        <v>-9.8800000000000008</v>
      </c>
      <c r="H806" s="70">
        <v>-65.06</v>
      </c>
      <c r="I806" s="70">
        <v>-0.69</v>
      </c>
      <c r="J806" s="70">
        <v>30.96</v>
      </c>
      <c r="K806" s="70">
        <v>-4.58</v>
      </c>
      <c r="L806" s="64">
        <f t="shared" si="12"/>
        <v>-225.06</v>
      </c>
    </row>
    <row r="807" spans="1:12" x14ac:dyDescent="0.25">
      <c r="A807" s="65">
        <v>2463</v>
      </c>
      <c r="B807" s="65" t="s">
        <v>229</v>
      </c>
      <c r="C807" s="65" t="s">
        <v>974</v>
      </c>
      <c r="D807" s="65">
        <v>0</v>
      </c>
      <c r="E807" s="65"/>
      <c r="F807" s="70">
        <v>-238.23</v>
      </c>
      <c r="G807" s="70">
        <v>-12.07</v>
      </c>
      <c r="H807" s="70">
        <v>-65.63</v>
      </c>
      <c r="I807" s="70">
        <v>-0.63</v>
      </c>
      <c r="J807" s="70">
        <v>-38.68</v>
      </c>
      <c r="K807" s="70">
        <v>-5.54</v>
      </c>
      <c r="L807" s="64">
        <f t="shared" si="12"/>
        <v>238.23</v>
      </c>
    </row>
    <row r="808" spans="1:12" x14ac:dyDescent="0.25">
      <c r="A808" s="65">
        <v>2399</v>
      </c>
      <c r="B808" s="65" t="s">
        <v>229</v>
      </c>
      <c r="C808" s="65" t="s">
        <v>918</v>
      </c>
      <c r="D808" s="65">
        <v>0</v>
      </c>
      <c r="E808" s="65"/>
      <c r="F808" s="70">
        <v>513.23</v>
      </c>
      <c r="G808" s="70">
        <v>-7.78</v>
      </c>
      <c r="H808" s="70">
        <v>-66.37</v>
      </c>
      <c r="I808" s="70">
        <v>-0.74</v>
      </c>
      <c r="J808" s="70">
        <v>71.06</v>
      </c>
      <c r="K808" s="70">
        <v>-3.75</v>
      </c>
      <c r="L808" s="64">
        <f t="shared" si="12"/>
        <v>-513.23</v>
      </c>
    </row>
    <row r="809" spans="1:12" x14ac:dyDescent="0.25">
      <c r="A809" s="65">
        <v>2396</v>
      </c>
      <c r="B809" s="65" t="s">
        <v>229</v>
      </c>
      <c r="C809" s="65" t="s">
        <v>912</v>
      </c>
      <c r="D809" s="65">
        <v>0</v>
      </c>
      <c r="E809" s="65"/>
      <c r="F809" s="70">
        <v>224.58</v>
      </c>
      <c r="G809" s="70">
        <v>-9.89</v>
      </c>
      <c r="H809" s="70">
        <v>-66.72</v>
      </c>
      <c r="I809" s="70">
        <v>-0.69</v>
      </c>
      <c r="J809" s="70">
        <v>30.21</v>
      </c>
      <c r="K809" s="70">
        <v>-4.58</v>
      </c>
      <c r="L809" s="64">
        <f t="shared" si="12"/>
        <v>-224.58</v>
      </c>
    </row>
    <row r="810" spans="1:12" x14ac:dyDescent="0.25">
      <c r="A810" s="65">
        <v>1775</v>
      </c>
      <c r="B810" s="65" t="s">
        <v>229</v>
      </c>
      <c r="C810" s="65" t="s">
        <v>319</v>
      </c>
      <c r="D810" s="65">
        <v>4</v>
      </c>
      <c r="E810" s="65"/>
      <c r="F810" s="70">
        <v>227.17</v>
      </c>
      <c r="G810" s="70">
        <v>-9.8699999999999992</v>
      </c>
      <c r="H810" s="70">
        <v>-67.73</v>
      </c>
      <c r="I810" s="70">
        <v>-0.69</v>
      </c>
      <c r="J810" s="70">
        <v>48.95</v>
      </c>
      <c r="K810" s="70">
        <v>5.19</v>
      </c>
      <c r="L810" s="64">
        <f t="shared" si="12"/>
        <v>-227.17</v>
      </c>
    </row>
    <row r="811" spans="1:12" x14ac:dyDescent="0.25">
      <c r="A811" s="65">
        <v>1778</v>
      </c>
      <c r="B811" s="65" t="s">
        <v>229</v>
      </c>
      <c r="C811" s="65" t="s">
        <v>325</v>
      </c>
      <c r="D811" s="65">
        <v>4</v>
      </c>
      <c r="E811" s="65"/>
      <c r="F811" s="70">
        <v>516.63</v>
      </c>
      <c r="G811" s="70">
        <v>-7.78</v>
      </c>
      <c r="H811" s="70">
        <v>-68.2</v>
      </c>
      <c r="I811" s="70">
        <v>-0.74</v>
      </c>
      <c r="J811" s="70">
        <v>83.11</v>
      </c>
      <c r="K811" s="70">
        <v>3.95</v>
      </c>
      <c r="L811" s="64">
        <f t="shared" si="12"/>
        <v>-516.63</v>
      </c>
    </row>
    <row r="812" spans="1:12" x14ac:dyDescent="0.25">
      <c r="A812" s="65">
        <v>1845</v>
      </c>
      <c r="B812" s="65" t="s">
        <v>229</v>
      </c>
      <c r="C812" s="65" t="s">
        <v>386</v>
      </c>
      <c r="D812" s="65">
        <v>0</v>
      </c>
      <c r="E812" s="65"/>
      <c r="F812" s="70">
        <v>344.24</v>
      </c>
      <c r="G812" s="70">
        <v>-8.98</v>
      </c>
      <c r="H812" s="70">
        <v>-69.099999999999994</v>
      </c>
      <c r="I812" s="70">
        <v>-0.72</v>
      </c>
      <c r="J812" s="70">
        <v>44.63</v>
      </c>
      <c r="K812" s="70">
        <v>-4.2</v>
      </c>
      <c r="L812" s="64">
        <f t="shared" si="12"/>
        <v>-344.24</v>
      </c>
    </row>
    <row r="813" spans="1:12" x14ac:dyDescent="0.25">
      <c r="A813" s="65">
        <v>1846</v>
      </c>
      <c r="B813" s="65" t="s">
        <v>229</v>
      </c>
      <c r="C813" s="65" t="s">
        <v>388</v>
      </c>
      <c r="D813" s="65">
        <v>0</v>
      </c>
      <c r="E813" s="65"/>
      <c r="F813" s="70">
        <v>445.51</v>
      </c>
      <c r="G813" s="70">
        <v>-8.34</v>
      </c>
      <c r="H813" s="70">
        <v>-69.510000000000005</v>
      </c>
      <c r="I813" s="70">
        <v>-0.72</v>
      </c>
      <c r="J813" s="70">
        <v>59.22</v>
      </c>
      <c r="K813" s="70">
        <v>-3.96</v>
      </c>
      <c r="L813" s="64">
        <f t="shared" si="12"/>
        <v>-445.51</v>
      </c>
    </row>
    <row r="814" spans="1:12" x14ac:dyDescent="0.25">
      <c r="A814" s="65">
        <v>2465</v>
      </c>
      <c r="B814" s="65" t="s">
        <v>229</v>
      </c>
      <c r="C814" s="65" t="s">
        <v>979</v>
      </c>
      <c r="D814" s="65">
        <v>4</v>
      </c>
      <c r="E814" s="65"/>
      <c r="F814" s="70">
        <v>226.86</v>
      </c>
      <c r="G814" s="70">
        <v>-9.89</v>
      </c>
      <c r="H814" s="70">
        <v>-69.86</v>
      </c>
      <c r="I814" s="70">
        <v>-0.69</v>
      </c>
      <c r="J814" s="70">
        <v>49.92</v>
      </c>
      <c r="K814" s="70">
        <v>5.2</v>
      </c>
      <c r="L814" s="64">
        <f t="shared" si="12"/>
        <v>-226.86</v>
      </c>
    </row>
    <row r="815" spans="1:12" x14ac:dyDescent="0.25">
      <c r="A815" s="65">
        <v>2468</v>
      </c>
      <c r="B815" s="65" t="s">
        <v>229</v>
      </c>
      <c r="C815" s="65" t="s">
        <v>985</v>
      </c>
      <c r="D815" s="65">
        <v>4</v>
      </c>
      <c r="E815" s="65"/>
      <c r="F815" s="70">
        <v>516.6</v>
      </c>
      <c r="G815" s="70">
        <v>-7.78</v>
      </c>
      <c r="H815" s="70">
        <v>-70.03</v>
      </c>
      <c r="I815" s="70">
        <v>-0.74</v>
      </c>
      <c r="J815" s="70">
        <v>83.96</v>
      </c>
      <c r="K815" s="70">
        <v>3.95</v>
      </c>
      <c r="L815" s="64">
        <f t="shared" si="12"/>
        <v>-516.6</v>
      </c>
    </row>
    <row r="816" spans="1:12" x14ac:dyDescent="0.25">
      <c r="A816" s="65">
        <v>1774</v>
      </c>
      <c r="B816" s="65" t="s">
        <v>229</v>
      </c>
      <c r="C816" s="65" t="s">
        <v>316</v>
      </c>
      <c r="D816" s="65">
        <v>0</v>
      </c>
      <c r="E816" s="65"/>
      <c r="F816" s="70">
        <v>108.4</v>
      </c>
      <c r="G816" s="70">
        <v>-10.78</v>
      </c>
      <c r="H816" s="70">
        <v>-70.36</v>
      </c>
      <c r="I816" s="70">
        <v>-0.67</v>
      </c>
      <c r="J816" s="70">
        <v>-34.29</v>
      </c>
      <c r="K816" s="70">
        <v>-4.96</v>
      </c>
      <c r="L816" s="64">
        <f t="shared" si="12"/>
        <v>-108.4</v>
      </c>
    </row>
    <row r="817" spans="1:12" x14ac:dyDescent="0.25">
      <c r="A817" s="65">
        <v>2397</v>
      </c>
      <c r="B817" s="65" t="s">
        <v>229</v>
      </c>
      <c r="C817" s="65" t="s">
        <v>914</v>
      </c>
      <c r="D817" s="65">
        <v>0</v>
      </c>
      <c r="E817" s="65"/>
      <c r="F817" s="70">
        <v>344.19</v>
      </c>
      <c r="G817" s="70">
        <v>-8.98</v>
      </c>
      <c r="H817" s="70">
        <v>-70.739999999999995</v>
      </c>
      <c r="I817" s="70">
        <v>-0.72</v>
      </c>
      <c r="J817" s="70">
        <v>43.95</v>
      </c>
      <c r="K817" s="70">
        <v>-4.2</v>
      </c>
      <c r="L817" s="64">
        <f t="shared" si="12"/>
        <v>-344.19</v>
      </c>
    </row>
    <row r="818" spans="1:12" x14ac:dyDescent="0.25">
      <c r="A818" s="65">
        <v>2398</v>
      </c>
      <c r="B818" s="65" t="s">
        <v>229</v>
      </c>
      <c r="C818" s="65" t="s">
        <v>916</v>
      </c>
      <c r="D818" s="65">
        <v>0</v>
      </c>
      <c r="E818" s="65"/>
      <c r="F818" s="70">
        <v>445.48</v>
      </c>
      <c r="G818" s="70">
        <v>-8.34</v>
      </c>
      <c r="H818" s="70">
        <v>-71.069999999999993</v>
      </c>
      <c r="I818" s="70">
        <v>-0.72</v>
      </c>
      <c r="J818" s="70">
        <v>58.52</v>
      </c>
      <c r="K818" s="70">
        <v>-3.95</v>
      </c>
      <c r="L818" s="64">
        <f t="shared" si="12"/>
        <v>-445.48</v>
      </c>
    </row>
    <row r="819" spans="1:12" x14ac:dyDescent="0.25">
      <c r="A819" s="65">
        <v>1779</v>
      </c>
      <c r="B819" s="65" t="s">
        <v>229</v>
      </c>
      <c r="C819" s="65" t="s">
        <v>326</v>
      </c>
      <c r="D819" s="65">
        <v>0</v>
      </c>
      <c r="E819" s="65"/>
      <c r="F819" s="70">
        <v>540.23</v>
      </c>
      <c r="G819" s="70">
        <v>-7.51</v>
      </c>
      <c r="H819" s="70">
        <v>-71.44</v>
      </c>
      <c r="I819" s="70">
        <v>-0.74</v>
      </c>
      <c r="J819" s="70">
        <v>84.57</v>
      </c>
      <c r="K819" s="70">
        <v>-3.75</v>
      </c>
      <c r="L819" s="64">
        <f t="shared" si="12"/>
        <v>-540.23</v>
      </c>
    </row>
    <row r="820" spans="1:12" x14ac:dyDescent="0.25">
      <c r="A820" s="65">
        <v>1776</v>
      </c>
      <c r="B820" s="65" t="s">
        <v>229</v>
      </c>
      <c r="C820" s="65" t="s">
        <v>321</v>
      </c>
      <c r="D820" s="65">
        <v>4</v>
      </c>
      <c r="E820" s="65"/>
      <c r="F820" s="70">
        <v>346.43</v>
      </c>
      <c r="G820" s="70">
        <v>-8.98</v>
      </c>
      <c r="H820" s="70">
        <v>-72.19</v>
      </c>
      <c r="I820" s="70">
        <v>-0.72</v>
      </c>
      <c r="J820" s="70">
        <v>62.37</v>
      </c>
      <c r="K820" s="70">
        <v>4.6900000000000004</v>
      </c>
      <c r="L820" s="64">
        <f t="shared" si="12"/>
        <v>-346.43</v>
      </c>
    </row>
    <row r="821" spans="1:12" x14ac:dyDescent="0.25">
      <c r="A821" s="65">
        <v>2464</v>
      </c>
      <c r="B821" s="65" t="s">
        <v>229</v>
      </c>
      <c r="C821" s="65" t="s">
        <v>976</v>
      </c>
      <c r="D821" s="65">
        <v>0</v>
      </c>
      <c r="E821" s="65"/>
      <c r="F821" s="70">
        <v>108.4</v>
      </c>
      <c r="G821" s="70">
        <v>-10.8</v>
      </c>
      <c r="H821" s="70">
        <v>-72.56</v>
      </c>
      <c r="I821" s="70">
        <v>-0.67</v>
      </c>
      <c r="J821" s="70">
        <v>-35.65</v>
      </c>
      <c r="K821" s="70">
        <v>-4.97</v>
      </c>
      <c r="L821" s="64">
        <f t="shared" si="12"/>
        <v>-108.4</v>
      </c>
    </row>
    <row r="822" spans="1:12" x14ac:dyDescent="0.25">
      <c r="A822" s="65">
        <v>1777</v>
      </c>
      <c r="B822" s="65" t="s">
        <v>229</v>
      </c>
      <c r="C822" s="65" t="s">
        <v>323</v>
      </c>
      <c r="D822" s="65">
        <v>4</v>
      </c>
      <c r="E822" s="65"/>
      <c r="F822" s="70">
        <v>447.42</v>
      </c>
      <c r="G822" s="70">
        <v>-8.34</v>
      </c>
      <c r="H822" s="70">
        <v>-72.73</v>
      </c>
      <c r="I822" s="70">
        <v>-0.72</v>
      </c>
      <c r="J822" s="70">
        <v>75.66</v>
      </c>
      <c r="K822" s="70">
        <v>4.3</v>
      </c>
      <c r="L822" s="64">
        <f t="shared" si="12"/>
        <v>-447.42</v>
      </c>
    </row>
    <row r="823" spans="1:12" x14ac:dyDescent="0.25">
      <c r="A823" s="65">
        <v>2469</v>
      </c>
      <c r="B823" s="65" t="s">
        <v>229</v>
      </c>
      <c r="C823" s="65" t="s">
        <v>986</v>
      </c>
      <c r="D823" s="65">
        <v>0</v>
      </c>
      <c r="E823" s="65"/>
      <c r="F823" s="70">
        <v>540.22</v>
      </c>
      <c r="G823" s="70">
        <v>-7.51</v>
      </c>
      <c r="H823" s="70">
        <v>-73.17</v>
      </c>
      <c r="I823" s="70">
        <v>-0.74</v>
      </c>
      <c r="J823" s="70">
        <v>83.73</v>
      </c>
      <c r="K823" s="70">
        <v>-3.74</v>
      </c>
      <c r="L823" s="64">
        <f t="shared" si="12"/>
        <v>-540.22</v>
      </c>
    </row>
    <row r="824" spans="1:12" x14ac:dyDescent="0.25">
      <c r="A824" s="65">
        <v>2466</v>
      </c>
      <c r="B824" s="65" t="s">
        <v>229</v>
      </c>
      <c r="C824" s="65" t="s">
        <v>981</v>
      </c>
      <c r="D824" s="65">
        <v>4</v>
      </c>
      <c r="E824" s="65"/>
      <c r="F824" s="70">
        <v>346.37</v>
      </c>
      <c r="G824" s="70">
        <v>-8.98</v>
      </c>
      <c r="H824" s="70">
        <v>-74.239999999999995</v>
      </c>
      <c r="I824" s="70">
        <v>-0.72</v>
      </c>
      <c r="J824" s="70">
        <v>63.36</v>
      </c>
      <c r="K824" s="70">
        <v>4.6900000000000004</v>
      </c>
      <c r="L824" s="64">
        <f t="shared" si="12"/>
        <v>-346.37</v>
      </c>
    </row>
    <row r="825" spans="1:12" x14ac:dyDescent="0.25">
      <c r="A825" s="65">
        <v>2467</v>
      </c>
      <c r="B825" s="65" t="s">
        <v>229</v>
      </c>
      <c r="C825" s="65" t="s">
        <v>983</v>
      </c>
      <c r="D825" s="65">
        <v>4</v>
      </c>
      <c r="E825" s="65"/>
      <c r="F825" s="70">
        <v>447.38</v>
      </c>
      <c r="G825" s="70">
        <v>-8.34</v>
      </c>
      <c r="H825" s="70">
        <v>-74.67</v>
      </c>
      <c r="I825" s="70">
        <v>-0.72</v>
      </c>
      <c r="J825" s="70">
        <v>76.510000000000005</v>
      </c>
      <c r="K825" s="70">
        <v>4.3</v>
      </c>
      <c r="L825" s="64">
        <f t="shared" si="12"/>
        <v>-447.38</v>
      </c>
    </row>
    <row r="826" spans="1:12" x14ac:dyDescent="0.25">
      <c r="A826" s="65">
        <v>1775</v>
      </c>
      <c r="B826" s="65" t="s">
        <v>229</v>
      </c>
      <c r="C826" s="65" t="s">
        <v>318</v>
      </c>
      <c r="D826" s="65">
        <v>0</v>
      </c>
      <c r="E826" s="65"/>
      <c r="F826" s="70">
        <v>225.65</v>
      </c>
      <c r="G826" s="70">
        <v>-9.8699999999999992</v>
      </c>
      <c r="H826" s="70">
        <v>-76.83</v>
      </c>
      <c r="I826" s="70">
        <v>-0.69</v>
      </c>
      <c r="J826" s="70">
        <v>36.24</v>
      </c>
      <c r="K826" s="70">
        <v>-4.58</v>
      </c>
      <c r="L826" s="64">
        <f t="shared" si="12"/>
        <v>-225.65</v>
      </c>
    </row>
    <row r="827" spans="1:12" x14ac:dyDescent="0.25">
      <c r="A827" s="65">
        <v>1778</v>
      </c>
      <c r="B827" s="65" t="s">
        <v>229</v>
      </c>
      <c r="C827" s="65" t="s">
        <v>324</v>
      </c>
      <c r="D827" s="65">
        <v>0</v>
      </c>
      <c r="E827" s="65"/>
      <c r="F827" s="70">
        <v>516.25</v>
      </c>
      <c r="G827" s="70">
        <v>-7.78</v>
      </c>
      <c r="H827" s="70">
        <v>-77.42</v>
      </c>
      <c r="I827" s="70">
        <v>-0.74</v>
      </c>
      <c r="J827" s="70">
        <v>77.989999999999995</v>
      </c>
      <c r="K827" s="70">
        <v>-3.76</v>
      </c>
      <c r="L827" s="64">
        <f t="shared" si="12"/>
        <v>-516.25</v>
      </c>
    </row>
    <row r="828" spans="1:12" x14ac:dyDescent="0.25">
      <c r="A828" s="65">
        <v>2465</v>
      </c>
      <c r="B828" s="65" t="s">
        <v>229</v>
      </c>
      <c r="C828" s="65" t="s">
        <v>978</v>
      </c>
      <c r="D828" s="65">
        <v>0</v>
      </c>
      <c r="E828" s="65"/>
      <c r="F828" s="70">
        <v>225.34</v>
      </c>
      <c r="G828" s="70">
        <v>-9.89</v>
      </c>
      <c r="H828" s="70">
        <v>-78.959999999999994</v>
      </c>
      <c r="I828" s="70">
        <v>-0.69</v>
      </c>
      <c r="J828" s="70">
        <v>35.24</v>
      </c>
      <c r="K828" s="70">
        <v>-4.58</v>
      </c>
      <c r="L828" s="64">
        <f t="shared" si="12"/>
        <v>-225.34</v>
      </c>
    </row>
    <row r="829" spans="1:12" x14ac:dyDescent="0.25">
      <c r="A829" s="65">
        <v>2468</v>
      </c>
      <c r="B829" s="65" t="s">
        <v>229</v>
      </c>
      <c r="C829" s="65" t="s">
        <v>984</v>
      </c>
      <c r="D829" s="65">
        <v>0</v>
      </c>
      <c r="E829" s="65"/>
      <c r="F829" s="70">
        <v>516.22</v>
      </c>
      <c r="G829" s="70">
        <v>-7.78</v>
      </c>
      <c r="H829" s="70">
        <v>-79.25</v>
      </c>
      <c r="I829" s="70">
        <v>-0.74</v>
      </c>
      <c r="J829" s="70">
        <v>77.17</v>
      </c>
      <c r="K829" s="70">
        <v>-3.75</v>
      </c>
      <c r="L829" s="64">
        <f t="shared" si="12"/>
        <v>-516.22</v>
      </c>
    </row>
    <row r="830" spans="1:12" x14ac:dyDescent="0.25">
      <c r="A830" s="65">
        <v>1776</v>
      </c>
      <c r="B830" s="65" t="s">
        <v>229</v>
      </c>
      <c r="C830" s="65" t="s">
        <v>320</v>
      </c>
      <c r="D830" s="65">
        <v>0</v>
      </c>
      <c r="E830" s="65"/>
      <c r="F830" s="70">
        <v>345.29</v>
      </c>
      <c r="G830" s="70">
        <v>-8.98</v>
      </c>
      <c r="H830" s="70">
        <v>-81.34</v>
      </c>
      <c r="I830" s="70">
        <v>-0.72</v>
      </c>
      <c r="J830" s="70">
        <v>49.91</v>
      </c>
      <c r="K830" s="70">
        <v>-4.2</v>
      </c>
      <c r="L830" s="64">
        <f t="shared" si="12"/>
        <v>-345.29</v>
      </c>
    </row>
    <row r="831" spans="1:12" x14ac:dyDescent="0.25">
      <c r="A831" s="65">
        <v>1777</v>
      </c>
      <c r="B831" s="65" t="s">
        <v>229</v>
      </c>
      <c r="C831" s="65" t="s">
        <v>322</v>
      </c>
      <c r="D831" s="65">
        <v>0</v>
      </c>
      <c r="E831" s="65"/>
      <c r="F831" s="70">
        <v>446.66</v>
      </c>
      <c r="G831" s="70">
        <v>-8.34</v>
      </c>
      <c r="H831" s="70">
        <v>-81.93</v>
      </c>
      <c r="I831" s="70">
        <v>-0.72</v>
      </c>
      <c r="J831" s="70">
        <v>64.569999999999993</v>
      </c>
      <c r="K831" s="70">
        <v>-3.96</v>
      </c>
      <c r="L831" s="64">
        <f t="shared" si="12"/>
        <v>-446.66</v>
      </c>
    </row>
    <row r="832" spans="1:12" x14ac:dyDescent="0.25">
      <c r="A832" s="65">
        <v>2466</v>
      </c>
      <c r="B832" s="65" t="s">
        <v>229</v>
      </c>
      <c r="C832" s="65" t="s">
        <v>980</v>
      </c>
      <c r="D832" s="65">
        <v>0</v>
      </c>
      <c r="E832" s="65"/>
      <c r="F832" s="70">
        <v>345.23</v>
      </c>
      <c r="G832" s="70">
        <v>-8.98</v>
      </c>
      <c r="H832" s="70">
        <v>-83.39</v>
      </c>
      <c r="I832" s="70">
        <v>-0.72</v>
      </c>
      <c r="J832" s="70">
        <v>48.93</v>
      </c>
      <c r="K832" s="70">
        <v>-4.2</v>
      </c>
      <c r="L832" s="64">
        <f t="shared" si="12"/>
        <v>-345.23</v>
      </c>
    </row>
    <row r="833" spans="1:12" x14ac:dyDescent="0.25">
      <c r="A833" s="65">
        <v>2467</v>
      </c>
      <c r="B833" s="65" t="s">
        <v>229</v>
      </c>
      <c r="C833" s="65" t="s">
        <v>982</v>
      </c>
      <c r="D833" s="65">
        <v>0</v>
      </c>
      <c r="E833" s="65"/>
      <c r="F833" s="70">
        <v>446.62</v>
      </c>
      <c r="G833" s="70">
        <v>-8.34</v>
      </c>
      <c r="H833" s="70">
        <v>-83.87</v>
      </c>
      <c r="I833" s="70">
        <v>-0.72</v>
      </c>
      <c r="J833" s="70">
        <v>63.76</v>
      </c>
      <c r="K833" s="70">
        <v>-3.95</v>
      </c>
      <c r="L833" s="64">
        <f t="shared" si="12"/>
        <v>-446.62</v>
      </c>
    </row>
    <row r="834" spans="1:12" x14ac:dyDescent="0.25">
      <c r="A834" s="65">
        <v>71</v>
      </c>
      <c r="B834" s="65" t="s">
        <v>229</v>
      </c>
      <c r="C834" s="65" t="s">
        <v>294</v>
      </c>
      <c r="D834" s="65">
        <v>0</v>
      </c>
      <c r="E834" s="65"/>
      <c r="F834" s="70">
        <v>-273.17</v>
      </c>
      <c r="G834" s="70">
        <v>-0.78</v>
      </c>
      <c r="H834" s="70">
        <v>-123.45</v>
      </c>
      <c r="I834" s="70">
        <v>7.0000000000000007E-2</v>
      </c>
      <c r="J834" s="70">
        <v>-6.71</v>
      </c>
      <c r="K834" s="70">
        <v>-0.44</v>
      </c>
      <c r="L834" s="64">
        <f t="shared" si="12"/>
        <v>273.17</v>
      </c>
    </row>
    <row r="835" spans="1:12" x14ac:dyDescent="0.25">
      <c r="A835" s="65">
        <v>2573</v>
      </c>
      <c r="B835" s="65" t="s">
        <v>229</v>
      </c>
      <c r="C835" s="65" t="s">
        <v>1086</v>
      </c>
      <c r="D835" s="65">
        <v>0</v>
      </c>
      <c r="E835" s="65"/>
      <c r="F835" s="70">
        <v>-273.58999999999997</v>
      </c>
      <c r="G835" s="70">
        <v>0.92</v>
      </c>
      <c r="H835" s="70">
        <v>-123.48</v>
      </c>
      <c r="I835" s="70">
        <v>7.0000000000000007E-2</v>
      </c>
      <c r="J835" s="70">
        <v>-6.54</v>
      </c>
      <c r="K835" s="70">
        <v>-0.45</v>
      </c>
      <c r="L835" s="64">
        <f t="shared" ref="L835:L859" si="13">F835*-1</f>
        <v>273.58999999999997</v>
      </c>
    </row>
    <row r="836" spans="1:12" x14ac:dyDescent="0.25">
      <c r="A836" s="65">
        <v>71</v>
      </c>
      <c r="B836" s="65" t="s">
        <v>229</v>
      </c>
      <c r="C836" s="65" t="s">
        <v>295</v>
      </c>
      <c r="D836" s="65">
        <v>4</v>
      </c>
      <c r="E836" s="65"/>
      <c r="F836" s="70">
        <v>-277.77999999999997</v>
      </c>
      <c r="G836" s="70">
        <v>-0.78</v>
      </c>
      <c r="H836" s="70">
        <v>-123.65</v>
      </c>
      <c r="I836" s="70">
        <v>7.0000000000000007E-2</v>
      </c>
      <c r="J836" s="70">
        <v>118.21</v>
      </c>
      <c r="K836" s="70">
        <v>0.35</v>
      </c>
      <c r="L836" s="64">
        <f t="shared" si="13"/>
        <v>277.77999999999997</v>
      </c>
    </row>
    <row r="837" spans="1:12" x14ac:dyDescent="0.25">
      <c r="A837" s="70">
        <v>2573</v>
      </c>
      <c r="B837" s="70" t="s">
        <v>229</v>
      </c>
      <c r="C837" s="70" t="s">
        <v>1087</v>
      </c>
      <c r="D837" s="70">
        <v>4</v>
      </c>
      <c r="E837" s="70"/>
      <c r="F837" s="70">
        <v>-278.19</v>
      </c>
      <c r="G837" s="70">
        <v>0.92</v>
      </c>
      <c r="H837" s="70">
        <v>-123.69</v>
      </c>
      <c r="I837" s="70">
        <v>7.0000000000000007E-2</v>
      </c>
      <c r="J837" s="70">
        <v>118.28</v>
      </c>
      <c r="K837" s="70">
        <v>-0.51</v>
      </c>
      <c r="L837" s="64">
        <f t="shared" si="13"/>
        <v>278.19</v>
      </c>
    </row>
    <row r="838" spans="1:12" x14ac:dyDescent="0.25">
      <c r="A838" s="65">
        <v>2159</v>
      </c>
      <c r="B838" s="65" t="s">
        <v>229</v>
      </c>
      <c r="C838" s="65" t="s">
        <v>690</v>
      </c>
      <c r="D838" s="65">
        <v>0</v>
      </c>
      <c r="E838" s="65"/>
      <c r="F838" s="70">
        <v>-494.84</v>
      </c>
      <c r="G838" s="70">
        <v>-5.82</v>
      </c>
      <c r="H838" s="70">
        <v>-234.7</v>
      </c>
      <c r="I838" s="70">
        <v>0.23</v>
      </c>
      <c r="J838" s="70">
        <v>-4.41</v>
      </c>
      <c r="K838" s="70">
        <v>-3.31</v>
      </c>
      <c r="L838" s="64">
        <f t="shared" si="13"/>
        <v>494.84</v>
      </c>
    </row>
    <row r="839" spans="1:12" x14ac:dyDescent="0.25">
      <c r="A839" s="65">
        <v>2159</v>
      </c>
      <c r="B839" s="65" t="s">
        <v>229</v>
      </c>
      <c r="C839" s="65" t="s">
        <v>691</v>
      </c>
      <c r="D839" s="65">
        <v>4</v>
      </c>
      <c r="E839" s="65"/>
      <c r="F839" s="70">
        <v>-504.04</v>
      </c>
      <c r="G839" s="70">
        <v>-5.82</v>
      </c>
      <c r="H839" s="70">
        <v>-235.11</v>
      </c>
      <c r="I839" s="70">
        <v>0.23</v>
      </c>
      <c r="J839" s="70">
        <v>230.52</v>
      </c>
      <c r="K839" s="70">
        <v>2.66</v>
      </c>
      <c r="L839" s="64">
        <f t="shared" si="13"/>
        <v>504.04</v>
      </c>
    </row>
    <row r="840" spans="1:12" x14ac:dyDescent="0.25">
      <c r="A840" s="65">
        <v>2090</v>
      </c>
      <c r="B840" s="65" t="s">
        <v>229</v>
      </c>
      <c r="C840" s="65" t="s">
        <v>624</v>
      </c>
      <c r="D840" s="65">
        <v>0</v>
      </c>
      <c r="E840" s="65"/>
      <c r="F840" s="70">
        <v>-503.44</v>
      </c>
      <c r="G840" s="70">
        <v>-5.82</v>
      </c>
      <c r="H840" s="70">
        <v>-236.78</v>
      </c>
      <c r="I840" s="70">
        <v>0.23</v>
      </c>
      <c r="J840" s="70">
        <v>-5.38</v>
      </c>
      <c r="K840" s="70">
        <v>-3.31</v>
      </c>
      <c r="L840" s="64">
        <f t="shared" si="13"/>
        <v>503.44</v>
      </c>
    </row>
    <row r="841" spans="1:12" x14ac:dyDescent="0.25">
      <c r="A841" s="65">
        <v>2228</v>
      </c>
      <c r="B841" s="65" t="s">
        <v>229</v>
      </c>
      <c r="C841" s="65" t="s">
        <v>756</v>
      </c>
      <c r="D841" s="65">
        <v>0</v>
      </c>
      <c r="E841" s="65"/>
      <c r="F841" s="70">
        <v>-503.18</v>
      </c>
      <c r="G841" s="70">
        <v>-5.82</v>
      </c>
      <c r="H841" s="70">
        <v>-236.8</v>
      </c>
      <c r="I841" s="70">
        <v>0.23</v>
      </c>
      <c r="J841" s="70">
        <v>-5.32</v>
      </c>
      <c r="K841" s="70">
        <v>-3.31</v>
      </c>
      <c r="L841" s="64">
        <f t="shared" si="13"/>
        <v>503.18</v>
      </c>
    </row>
    <row r="842" spans="1:12" x14ac:dyDescent="0.25">
      <c r="A842" s="65">
        <v>2090</v>
      </c>
      <c r="B842" s="65" t="s">
        <v>229</v>
      </c>
      <c r="C842" s="65" t="s">
        <v>625</v>
      </c>
      <c r="D842" s="65">
        <v>4</v>
      </c>
      <c r="E842" s="65"/>
      <c r="F842" s="70">
        <v>-512.64</v>
      </c>
      <c r="G842" s="70">
        <v>-5.82</v>
      </c>
      <c r="H842" s="70">
        <v>-237.19</v>
      </c>
      <c r="I842" s="70">
        <v>0.23</v>
      </c>
      <c r="J842" s="70">
        <v>231.53</v>
      </c>
      <c r="K842" s="70">
        <v>2.66</v>
      </c>
      <c r="L842" s="64">
        <f t="shared" si="13"/>
        <v>512.64</v>
      </c>
    </row>
    <row r="843" spans="1:12" x14ac:dyDescent="0.25">
      <c r="A843" s="65">
        <v>2228</v>
      </c>
      <c r="B843" s="65" t="s">
        <v>229</v>
      </c>
      <c r="C843" s="65" t="s">
        <v>757</v>
      </c>
      <c r="D843" s="65">
        <v>4</v>
      </c>
      <c r="E843" s="65"/>
      <c r="F843" s="70">
        <v>-512.38</v>
      </c>
      <c r="G843" s="70">
        <v>-5.82</v>
      </c>
      <c r="H843" s="70">
        <v>-237.21</v>
      </c>
      <c r="I843" s="70">
        <v>0.23</v>
      </c>
      <c r="J843" s="70">
        <v>231.55</v>
      </c>
      <c r="K843" s="70">
        <v>2.66</v>
      </c>
      <c r="L843" s="64">
        <f t="shared" si="13"/>
        <v>512.38</v>
      </c>
    </row>
    <row r="844" spans="1:12" x14ac:dyDescent="0.25">
      <c r="A844" s="65">
        <v>2021</v>
      </c>
      <c r="B844" s="65" t="s">
        <v>229</v>
      </c>
      <c r="C844" s="65" t="s">
        <v>558</v>
      </c>
      <c r="D844" s="65">
        <v>0</v>
      </c>
      <c r="E844" s="65"/>
      <c r="F844" s="70">
        <v>-512.26</v>
      </c>
      <c r="G844" s="70">
        <v>-5.81</v>
      </c>
      <c r="H844" s="70">
        <v>-238.89</v>
      </c>
      <c r="I844" s="70">
        <v>0.23</v>
      </c>
      <c r="J844" s="70">
        <v>-6.5</v>
      </c>
      <c r="K844" s="70">
        <v>-3.31</v>
      </c>
      <c r="L844" s="64">
        <f t="shared" si="13"/>
        <v>512.26</v>
      </c>
    </row>
    <row r="845" spans="1:12" x14ac:dyDescent="0.25">
      <c r="A845" s="65">
        <v>2297</v>
      </c>
      <c r="B845" s="65" t="s">
        <v>229</v>
      </c>
      <c r="C845" s="65" t="s">
        <v>822</v>
      </c>
      <c r="D845" s="65">
        <v>0</v>
      </c>
      <c r="E845" s="65"/>
      <c r="F845" s="70">
        <v>-511.71</v>
      </c>
      <c r="G845" s="70">
        <v>-5.82</v>
      </c>
      <c r="H845" s="70">
        <v>-238.91</v>
      </c>
      <c r="I845" s="70">
        <v>0.23</v>
      </c>
      <c r="J845" s="70">
        <v>-6.38</v>
      </c>
      <c r="K845" s="70">
        <v>-3.31</v>
      </c>
      <c r="L845" s="64">
        <f t="shared" si="13"/>
        <v>511.71</v>
      </c>
    </row>
    <row r="846" spans="1:12" x14ac:dyDescent="0.25">
      <c r="A846" s="65">
        <v>2021</v>
      </c>
      <c r="B846" s="65" t="s">
        <v>229</v>
      </c>
      <c r="C846" s="65" t="s">
        <v>559</v>
      </c>
      <c r="D846" s="65">
        <v>4</v>
      </c>
      <c r="E846" s="65"/>
      <c r="F846" s="70">
        <v>-521.46</v>
      </c>
      <c r="G846" s="70">
        <v>-5.81</v>
      </c>
      <c r="H846" s="70">
        <v>-239.3</v>
      </c>
      <c r="I846" s="70">
        <v>0.23</v>
      </c>
      <c r="J846" s="70">
        <v>232.54</v>
      </c>
      <c r="K846" s="70">
        <v>2.66</v>
      </c>
      <c r="L846" s="64">
        <f t="shared" si="13"/>
        <v>521.46</v>
      </c>
    </row>
    <row r="847" spans="1:12" x14ac:dyDescent="0.25">
      <c r="A847" s="65">
        <v>2297</v>
      </c>
      <c r="B847" s="65" t="s">
        <v>229</v>
      </c>
      <c r="C847" s="65" t="s">
        <v>823</v>
      </c>
      <c r="D847" s="65">
        <v>4</v>
      </c>
      <c r="E847" s="65"/>
      <c r="F847" s="70">
        <v>-520.91</v>
      </c>
      <c r="G847" s="70">
        <v>-5.82</v>
      </c>
      <c r="H847" s="70">
        <v>-239.32</v>
      </c>
      <c r="I847" s="70">
        <v>0.23</v>
      </c>
      <c r="J847" s="70">
        <v>232.59</v>
      </c>
      <c r="K847" s="70">
        <v>2.66</v>
      </c>
      <c r="L847" s="64">
        <f t="shared" si="13"/>
        <v>520.91</v>
      </c>
    </row>
    <row r="848" spans="1:12" x14ac:dyDescent="0.25">
      <c r="A848" s="65">
        <v>1952</v>
      </c>
      <c r="B848" s="65" t="s">
        <v>229</v>
      </c>
      <c r="C848" s="65" t="s">
        <v>492</v>
      </c>
      <c r="D848" s="65">
        <v>0</v>
      </c>
      <c r="E848" s="65"/>
      <c r="F848" s="70">
        <v>-521.26</v>
      </c>
      <c r="G848" s="70">
        <v>-5.81</v>
      </c>
      <c r="H848" s="70">
        <v>-241</v>
      </c>
      <c r="I848" s="70">
        <v>0.23</v>
      </c>
      <c r="J848" s="70">
        <v>-7.9</v>
      </c>
      <c r="K848" s="70">
        <v>-3.31</v>
      </c>
      <c r="L848" s="64">
        <f t="shared" si="13"/>
        <v>521.26</v>
      </c>
    </row>
    <row r="849" spans="1:12" x14ac:dyDescent="0.25">
      <c r="A849" s="65">
        <v>2366</v>
      </c>
      <c r="B849" s="65" t="s">
        <v>229</v>
      </c>
      <c r="C849" s="65" t="s">
        <v>888</v>
      </c>
      <c r="D849" s="65">
        <v>0</v>
      </c>
      <c r="E849" s="65"/>
      <c r="F849" s="70">
        <v>-520.23</v>
      </c>
      <c r="G849" s="70">
        <v>-5.81</v>
      </c>
      <c r="H849" s="70">
        <v>-241.01</v>
      </c>
      <c r="I849" s="70">
        <v>0.23</v>
      </c>
      <c r="J849" s="70">
        <v>-7.73</v>
      </c>
      <c r="K849" s="70">
        <v>-3.31</v>
      </c>
      <c r="L849" s="64">
        <f t="shared" si="13"/>
        <v>520.23</v>
      </c>
    </row>
    <row r="850" spans="1:12" x14ac:dyDescent="0.25">
      <c r="A850" s="65">
        <v>1952</v>
      </c>
      <c r="B850" s="65" t="s">
        <v>229</v>
      </c>
      <c r="C850" s="65" t="s">
        <v>493</v>
      </c>
      <c r="D850" s="65">
        <v>4</v>
      </c>
      <c r="E850" s="65"/>
      <c r="F850" s="70">
        <v>-530.46</v>
      </c>
      <c r="G850" s="70">
        <v>-5.81</v>
      </c>
      <c r="H850" s="70">
        <v>-241.41</v>
      </c>
      <c r="I850" s="70">
        <v>0.23</v>
      </c>
      <c r="J850" s="70">
        <v>233.56</v>
      </c>
      <c r="K850" s="70">
        <v>2.65</v>
      </c>
      <c r="L850" s="64">
        <f t="shared" si="13"/>
        <v>530.46</v>
      </c>
    </row>
    <row r="851" spans="1:12" x14ac:dyDescent="0.25">
      <c r="A851" s="65">
        <v>2366</v>
      </c>
      <c r="B851" s="65" t="s">
        <v>229</v>
      </c>
      <c r="C851" s="65" t="s">
        <v>889</v>
      </c>
      <c r="D851" s="65">
        <v>4</v>
      </c>
      <c r="E851" s="65"/>
      <c r="F851" s="70">
        <v>-529.42999999999995</v>
      </c>
      <c r="G851" s="70">
        <v>-5.81</v>
      </c>
      <c r="H851" s="70">
        <v>-241.42</v>
      </c>
      <c r="I851" s="70">
        <v>0.23</v>
      </c>
      <c r="J851" s="70">
        <v>233.63</v>
      </c>
      <c r="K851" s="70">
        <v>2.66</v>
      </c>
      <c r="L851" s="64">
        <f t="shared" si="13"/>
        <v>529.42999999999995</v>
      </c>
    </row>
    <row r="852" spans="1:12" x14ac:dyDescent="0.25">
      <c r="A852" s="65">
        <v>1883</v>
      </c>
      <c r="B852" s="65" t="s">
        <v>229</v>
      </c>
      <c r="C852" s="65" t="s">
        <v>426</v>
      </c>
      <c r="D852" s="65">
        <v>0</v>
      </c>
      <c r="E852" s="65"/>
      <c r="F852" s="70">
        <v>-530.27</v>
      </c>
      <c r="G852" s="70">
        <v>-5.81</v>
      </c>
      <c r="H852" s="70">
        <v>-243.11</v>
      </c>
      <c r="I852" s="70">
        <v>0.23</v>
      </c>
      <c r="J852" s="70">
        <v>-9.89</v>
      </c>
      <c r="K852" s="70">
        <v>-3.31</v>
      </c>
      <c r="L852" s="64">
        <f t="shared" si="13"/>
        <v>530.27</v>
      </c>
    </row>
    <row r="853" spans="1:12" x14ac:dyDescent="0.25">
      <c r="A853" s="65">
        <v>2435</v>
      </c>
      <c r="B853" s="65" t="s">
        <v>229</v>
      </c>
      <c r="C853" s="65" t="s">
        <v>954</v>
      </c>
      <c r="D853" s="65">
        <v>0</v>
      </c>
      <c r="E853" s="65"/>
      <c r="F853" s="70">
        <v>-528.99</v>
      </c>
      <c r="G853" s="70">
        <v>-5.82</v>
      </c>
      <c r="H853" s="70">
        <v>-243.14</v>
      </c>
      <c r="I853" s="70">
        <v>0.23</v>
      </c>
      <c r="J853" s="70">
        <v>-9.67</v>
      </c>
      <c r="K853" s="70">
        <v>-3.31</v>
      </c>
      <c r="L853" s="64">
        <f t="shared" si="13"/>
        <v>528.99</v>
      </c>
    </row>
    <row r="854" spans="1:12" x14ac:dyDescent="0.25">
      <c r="A854" s="65">
        <v>1883</v>
      </c>
      <c r="B854" s="65" t="s">
        <v>229</v>
      </c>
      <c r="C854" s="65" t="s">
        <v>427</v>
      </c>
      <c r="D854" s="65">
        <v>4</v>
      </c>
      <c r="E854" s="65"/>
      <c r="F854" s="70">
        <v>-539.47</v>
      </c>
      <c r="G854" s="70">
        <v>-5.81</v>
      </c>
      <c r="H854" s="70">
        <v>-243.53</v>
      </c>
      <c r="I854" s="70">
        <v>0.23</v>
      </c>
      <c r="J854" s="70">
        <v>234.58</v>
      </c>
      <c r="K854" s="70">
        <v>2.65</v>
      </c>
      <c r="L854" s="64">
        <f t="shared" si="13"/>
        <v>539.47</v>
      </c>
    </row>
    <row r="855" spans="1:12" x14ac:dyDescent="0.25">
      <c r="A855" s="65">
        <v>2435</v>
      </c>
      <c r="B855" s="65" t="s">
        <v>229</v>
      </c>
      <c r="C855" s="65" t="s">
        <v>955</v>
      </c>
      <c r="D855" s="65">
        <v>4</v>
      </c>
      <c r="E855" s="65"/>
      <c r="F855" s="70">
        <v>-538.19000000000005</v>
      </c>
      <c r="G855" s="70">
        <v>-5.82</v>
      </c>
      <c r="H855" s="70">
        <v>-243.55</v>
      </c>
      <c r="I855" s="70">
        <v>0.23</v>
      </c>
      <c r="J855" s="70">
        <v>234.67</v>
      </c>
      <c r="K855" s="70">
        <v>2.66</v>
      </c>
      <c r="L855" s="64">
        <f t="shared" si="13"/>
        <v>538.19000000000005</v>
      </c>
    </row>
    <row r="856" spans="1:12" x14ac:dyDescent="0.25">
      <c r="A856" s="65">
        <v>1814</v>
      </c>
      <c r="B856" s="65" t="s">
        <v>229</v>
      </c>
      <c r="C856" s="65" t="s">
        <v>360</v>
      </c>
      <c r="D856" s="65">
        <v>0</v>
      </c>
      <c r="E856" s="65"/>
      <c r="F856" s="70">
        <v>-539.35</v>
      </c>
      <c r="G856" s="70">
        <v>-5.81</v>
      </c>
      <c r="H856" s="70">
        <v>-245.24</v>
      </c>
      <c r="I856" s="70">
        <v>0.23</v>
      </c>
      <c r="J856" s="70">
        <v>-11.9</v>
      </c>
      <c r="K856" s="70">
        <v>-3.31</v>
      </c>
      <c r="L856" s="64">
        <f t="shared" si="13"/>
        <v>539.35</v>
      </c>
    </row>
    <row r="857" spans="1:12" x14ac:dyDescent="0.25">
      <c r="A857" s="65">
        <v>2504</v>
      </c>
      <c r="B857" s="65" t="s">
        <v>229</v>
      </c>
      <c r="C857" s="65" t="s">
        <v>1020</v>
      </c>
      <c r="D857" s="65">
        <v>0</v>
      </c>
      <c r="E857" s="65"/>
      <c r="F857" s="70">
        <v>-537.84</v>
      </c>
      <c r="G857" s="70">
        <v>-5.82</v>
      </c>
      <c r="H857" s="70">
        <v>-245.28</v>
      </c>
      <c r="I857" s="70">
        <v>0.23</v>
      </c>
      <c r="J857" s="70">
        <v>-11.61</v>
      </c>
      <c r="K857" s="70">
        <v>-3.31</v>
      </c>
      <c r="L857" s="64">
        <f t="shared" si="13"/>
        <v>537.84</v>
      </c>
    </row>
    <row r="858" spans="1:12" x14ac:dyDescent="0.25">
      <c r="A858" s="65">
        <v>1814</v>
      </c>
      <c r="B858" s="65" t="s">
        <v>229</v>
      </c>
      <c r="C858" s="65" t="s">
        <v>361</v>
      </c>
      <c r="D858" s="65">
        <v>4</v>
      </c>
      <c r="E858" s="65"/>
      <c r="F858" s="70">
        <v>-548.54999999999995</v>
      </c>
      <c r="G858" s="70">
        <v>-5.81</v>
      </c>
      <c r="H858" s="70">
        <v>-245.65</v>
      </c>
      <c r="I858" s="70">
        <v>0.23</v>
      </c>
      <c r="J858" s="70">
        <v>235.6</v>
      </c>
      <c r="K858" s="70">
        <v>2.65</v>
      </c>
      <c r="L858" s="64">
        <f t="shared" si="13"/>
        <v>548.54999999999995</v>
      </c>
    </row>
    <row r="859" spans="1:12" ht="15.75" thickBot="1" x14ac:dyDescent="0.3">
      <c r="A859" s="73">
        <v>2504</v>
      </c>
      <c r="B859" s="73" t="s">
        <v>229</v>
      </c>
      <c r="C859" s="73" t="s">
        <v>1021</v>
      </c>
      <c r="D859" s="73">
        <v>4</v>
      </c>
      <c r="E859" s="73"/>
      <c r="F859" s="73">
        <v>-547.04</v>
      </c>
      <c r="G859" s="73">
        <v>-5.82</v>
      </c>
      <c r="H859" s="73">
        <v>-245.69</v>
      </c>
      <c r="I859" s="73">
        <v>0.23</v>
      </c>
      <c r="J859" s="73">
        <v>235.71</v>
      </c>
      <c r="K859" s="73">
        <v>2.66</v>
      </c>
      <c r="L859" s="64">
        <f t="shared" si="13"/>
        <v>547.04</v>
      </c>
    </row>
  </sheetData>
  <autoFilter ref="A1:K859" xr:uid="{08B40D16-258B-4297-8FCE-9B903765C119}">
    <sortState xmlns:xlrd2="http://schemas.microsoft.com/office/spreadsheetml/2017/richdata2" ref="A2:K859">
      <sortCondition descending="1" ref="H1:H85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7E83-F7FA-411E-A712-021A756A42E8}">
  <sheetPr codeName="Sheet5"/>
  <dimension ref="A1:Q937"/>
  <sheetViews>
    <sheetView topLeftCell="A4" workbookViewId="0">
      <selection activeCell="O3" sqref="O3"/>
    </sheetView>
  </sheetViews>
  <sheetFormatPr defaultRowHeight="15" x14ac:dyDescent="0.25"/>
  <cols>
    <col min="2" max="2" width="9.7109375" bestFit="1" customWidth="1"/>
    <col min="3" max="3" width="0.140625" customWidth="1"/>
    <col min="5" max="6" width="0" hidden="1" customWidth="1"/>
  </cols>
  <sheetData>
    <row r="1" spans="1:17" ht="43.5" x14ac:dyDescent="0.25">
      <c r="A1" s="71" t="s">
        <v>217</v>
      </c>
      <c r="B1" s="71" t="s">
        <v>218</v>
      </c>
      <c r="C1" s="71" t="s">
        <v>219</v>
      </c>
      <c r="D1" s="71" t="s">
        <v>220</v>
      </c>
      <c r="E1" s="71" t="s">
        <v>221</v>
      </c>
      <c r="F1" s="71" t="s">
        <v>222</v>
      </c>
      <c r="G1" s="72" t="s">
        <v>223</v>
      </c>
      <c r="H1" s="72" t="s">
        <v>224</v>
      </c>
      <c r="I1" s="72" t="s">
        <v>225</v>
      </c>
      <c r="J1" s="72" t="s">
        <v>226</v>
      </c>
      <c r="K1" s="72" t="s">
        <v>227</v>
      </c>
      <c r="L1" s="72" t="s">
        <v>228</v>
      </c>
      <c r="M1" s="63" t="s">
        <v>2030</v>
      </c>
      <c r="O1" s="88" t="s">
        <v>2076</v>
      </c>
      <c r="P1" s="88" t="s">
        <v>2077</v>
      </c>
      <c r="Q1" s="88" t="s">
        <v>2085</v>
      </c>
    </row>
    <row r="2" spans="1:17" x14ac:dyDescent="0.25">
      <c r="A2" s="70">
        <v>1763</v>
      </c>
      <c r="B2" s="70" t="s">
        <v>229</v>
      </c>
      <c r="C2" s="70">
        <v>0</v>
      </c>
      <c r="D2" s="70" t="s">
        <v>1201</v>
      </c>
      <c r="E2" s="70">
        <v>4</v>
      </c>
      <c r="F2" s="70"/>
      <c r="G2" s="70">
        <v>-216.62</v>
      </c>
      <c r="H2" s="70">
        <v>4.32</v>
      </c>
      <c r="I2" s="70">
        <v>107.63</v>
      </c>
      <c r="J2" s="70">
        <v>0.23</v>
      </c>
      <c r="K2" s="70">
        <v>-94.28</v>
      </c>
      <c r="L2" s="70">
        <v>-1.86</v>
      </c>
      <c r="M2">
        <f t="shared" ref="M2:M65" si="0">G2*-1</f>
        <v>216.62</v>
      </c>
      <c r="O2" s="68">
        <f>MAX(G2:G937)</f>
        <v>424.27</v>
      </c>
      <c r="P2" s="68">
        <f>MAX(K2:K937)</f>
        <v>48.68</v>
      </c>
      <c r="Q2" s="68">
        <f>MAX(I2:I937)</f>
        <v>107.63</v>
      </c>
    </row>
    <row r="3" spans="1:17" x14ac:dyDescent="0.25">
      <c r="A3" s="70">
        <v>2453</v>
      </c>
      <c r="B3" s="70" t="s">
        <v>229</v>
      </c>
      <c r="C3" s="70">
        <v>0</v>
      </c>
      <c r="D3" s="70" t="s">
        <v>1921</v>
      </c>
      <c r="E3" s="70">
        <v>4</v>
      </c>
      <c r="F3" s="70"/>
      <c r="G3" s="70">
        <v>-217.11</v>
      </c>
      <c r="H3" s="70">
        <v>4.33</v>
      </c>
      <c r="I3" s="70">
        <v>107.59</v>
      </c>
      <c r="J3" s="70">
        <v>0.23</v>
      </c>
      <c r="K3" s="70">
        <v>-94.27</v>
      </c>
      <c r="L3" s="70">
        <v>-1.86</v>
      </c>
      <c r="M3" s="68">
        <f t="shared" si="0"/>
        <v>217.11</v>
      </c>
      <c r="O3" s="68">
        <f>MIN(G2:G937)</f>
        <v>-992.54</v>
      </c>
      <c r="P3" s="68">
        <f>MIN(K2:K937)</f>
        <v>-94.28</v>
      </c>
      <c r="Q3" s="68">
        <f>MIN(I2:I937)</f>
        <v>-104.81</v>
      </c>
    </row>
    <row r="4" spans="1:17" x14ac:dyDescent="0.25">
      <c r="A4" s="70">
        <v>1832</v>
      </c>
      <c r="B4" s="70" t="s">
        <v>229</v>
      </c>
      <c r="C4" s="70">
        <v>0</v>
      </c>
      <c r="D4" s="70" t="s">
        <v>1273</v>
      </c>
      <c r="E4" s="70">
        <v>4</v>
      </c>
      <c r="F4" s="70"/>
      <c r="G4" s="70">
        <v>-210.3</v>
      </c>
      <c r="H4" s="70">
        <v>4.32</v>
      </c>
      <c r="I4" s="70">
        <v>107.29</v>
      </c>
      <c r="J4" s="70">
        <v>0.23</v>
      </c>
      <c r="K4" s="70">
        <v>-94.11</v>
      </c>
      <c r="L4" s="70">
        <v>-1.86</v>
      </c>
      <c r="M4" s="68">
        <f t="shared" si="0"/>
        <v>210.3</v>
      </c>
    </row>
    <row r="5" spans="1:17" x14ac:dyDescent="0.25">
      <c r="A5" s="70">
        <v>2384</v>
      </c>
      <c r="B5" s="70" t="s">
        <v>229</v>
      </c>
      <c r="C5" s="70">
        <v>0</v>
      </c>
      <c r="D5" s="70" t="s">
        <v>1849</v>
      </c>
      <c r="E5" s="70">
        <v>4</v>
      </c>
      <c r="F5" s="70"/>
      <c r="G5" s="70">
        <v>-210.71</v>
      </c>
      <c r="H5" s="70">
        <v>4.33</v>
      </c>
      <c r="I5" s="70">
        <v>107.26</v>
      </c>
      <c r="J5" s="70">
        <v>0.23</v>
      </c>
      <c r="K5" s="70">
        <v>-94.1</v>
      </c>
      <c r="L5" s="70">
        <v>-1.86</v>
      </c>
      <c r="M5" s="68">
        <f t="shared" si="0"/>
        <v>210.71</v>
      </c>
    </row>
    <row r="6" spans="1:17" x14ac:dyDescent="0.25">
      <c r="A6" s="70">
        <v>1901</v>
      </c>
      <c r="B6" s="70" t="s">
        <v>229</v>
      </c>
      <c r="C6" s="70">
        <v>0</v>
      </c>
      <c r="D6" s="70" t="s">
        <v>1345</v>
      </c>
      <c r="E6" s="70">
        <v>4</v>
      </c>
      <c r="F6" s="70"/>
      <c r="G6" s="70">
        <v>-203.99</v>
      </c>
      <c r="H6" s="70">
        <v>4.32</v>
      </c>
      <c r="I6" s="70">
        <v>106.95</v>
      </c>
      <c r="J6" s="70">
        <v>0.23</v>
      </c>
      <c r="K6" s="70">
        <v>-93.95</v>
      </c>
      <c r="L6" s="70">
        <v>-1.86</v>
      </c>
      <c r="M6" s="68">
        <f t="shared" si="0"/>
        <v>203.99</v>
      </c>
    </row>
    <row r="7" spans="1:17" x14ac:dyDescent="0.25">
      <c r="A7" s="70">
        <v>2315</v>
      </c>
      <c r="B7" s="70" t="s">
        <v>229</v>
      </c>
      <c r="C7" s="70">
        <v>0</v>
      </c>
      <c r="D7" s="70" t="s">
        <v>1777</v>
      </c>
      <c r="E7" s="70">
        <v>4</v>
      </c>
      <c r="F7" s="70"/>
      <c r="G7" s="70">
        <v>-204.32</v>
      </c>
      <c r="H7" s="70">
        <v>4.33</v>
      </c>
      <c r="I7" s="70">
        <v>106.93</v>
      </c>
      <c r="J7" s="70">
        <v>0.23</v>
      </c>
      <c r="K7" s="70">
        <v>-93.94</v>
      </c>
      <c r="L7" s="70">
        <v>-1.86</v>
      </c>
      <c r="M7" s="68">
        <f t="shared" si="0"/>
        <v>204.32</v>
      </c>
    </row>
    <row r="8" spans="1:17" x14ac:dyDescent="0.25">
      <c r="A8" s="70">
        <v>1970</v>
      </c>
      <c r="B8" s="70" t="s">
        <v>229</v>
      </c>
      <c r="C8" s="70">
        <v>0</v>
      </c>
      <c r="D8" s="70" t="s">
        <v>1417</v>
      </c>
      <c r="E8" s="70">
        <v>4</v>
      </c>
      <c r="F8" s="70"/>
      <c r="G8" s="70">
        <v>-197.68</v>
      </c>
      <c r="H8" s="70">
        <v>4.33</v>
      </c>
      <c r="I8" s="70">
        <v>106.61</v>
      </c>
      <c r="J8" s="70">
        <v>0.23</v>
      </c>
      <c r="K8" s="70">
        <v>-93.78</v>
      </c>
      <c r="L8" s="70">
        <v>-1.86</v>
      </c>
      <c r="M8" s="68">
        <f t="shared" si="0"/>
        <v>197.68</v>
      </c>
    </row>
    <row r="9" spans="1:17" x14ac:dyDescent="0.25">
      <c r="A9" s="70">
        <v>2246</v>
      </c>
      <c r="B9" s="70" t="s">
        <v>229</v>
      </c>
      <c r="C9" s="70">
        <v>0</v>
      </c>
      <c r="D9" s="70" t="s">
        <v>1705</v>
      </c>
      <c r="E9" s="70">
        <v>4</v>
      </c>
      <c r="F9" s="70"/>
      <c r="G9" s="70">
        <v>-197.93</v>
      </c>
      <c r="H9" s="70">
        <v>4.33</v>
      </c>
      <c r="I9" s="70">
        <v>106.59</v>
      </c>
      <c r="J9" s="70">
        <v>0.23</v>
      </c>
      <c r="K9" s="70">
        <v>-93.77</v>
      </c>
      <c r="L9" s="70">
        <v>-1.86</v>
      </c>
      <c r="M9" s="68">
        <f t="shared" si="0"/>
        <v>197.93</v>
      </c>
    </row>
    <row r="10" spans="1:17" x14ac:dyDescent="0.25">
      <c r="A10" s="70">
        <v>1763</v>
      </c>
      <c r="B10" s="70" t="s">
        <v>229</v>
      </c>
      <c r="C10" s="70">
        <v>0</v>
      </c>
      <c r="D10" s="70" t="s">
        <v>1200</v>
      </c>
      <c r="E10" s="70">
        <v>0</v>
      </c>
      <c r="F10" s="70"/>
      <c r="G10" s="70">
        <v>-209.52</v>
      </c>
      <c r="H10" s="70">
        <v>4.32</v>
      </c>
      <c r="I10" s="70">
        <v>106.41</v>
      </c>
      <c r="J10" s="70">
        <v>0.23</v>
      </c>
      <c r="K10" s="70">
        <v>12.33</v>
      </c>
      <c r="L10" s="70">
        <v>2.48</v>
      </c>
      <c r="M10" s="68">
        <f t="shared" si="0"/>
        <v>209.52</v>
      </c>
    </row>
    <row r="11" spans="1:17" x14ac:dyDescent="0.25">
      <c r="A11" s="70">
        <v>2453</v>
      </c>
      <c r="B11" s="70" t="s">
        <v>229</v>
      </c>
      <c r="C11" s="70">
        <v>0</v>
      </c>
      <c r="D11" s="70" t="s">
        <v>1920</v>
      </c>
      <c r="E11" s="70">
        <v>0</v>
      </c>
      <c r="F11" s="70"/>
      <c r="G11" s="70">
        <v>-210.01</v>
      </c>
      <c r="H11" s="70">
        <v>4.33</v>
      </c>
      <c r="I11" s="70">
        <v>106.38</v>
      </c>
      <c r="J11" s="70">
        <v>0.23</v>
      </c>
      <c r="K11" s="70">
        <v>12.32</v>
      </c>
      <c r="L11" s="70">
        <v>2.48</v>
      </c>
      <c r="M11" s="68">
        <f t="shared" si="0"/>
        <v>210.01</v>
      </c>
    </row>
    <row r="12" spans="1:17" x14ac:dyDescent="0.25">
      <c r="A12" s="70">
        <v>2039</v>
      </c>
      <c r="B12" s="70" t="s">
        <v>229</v>
      </c>
      <c r="C12" s="70">
        <v>0</v>
      </c>
      <c r="D12" s="70" t="s">
        <v>1489</v>
      </c>
      <c r="E12" s="70">
        <v>4</v>
      </c>
      <c r="F12" s="70"/>
      <c r="G12" s="70">
        <v>-191.38</v>
      </c>
      <c r="H12" s="70">
        <v>4.33</v>
      </c>
      <c r="I12" s="70">
        <v>106.27</v>
      </c>
      <c r="J12" s="70">
        <v>0.23</v>
      </c>
      <c r="K12" s="70">
        <v>-93.61</v>
      </c>
      <c r="L12" s="70">
        <v>-1.86</v>
      </c>
      <c r="M12" s="68">
        <f t="shared" si="0"/>
        <v>191.38</v>
      </c>
    </row>
    <row r="13" spans="1:17" x14ac:dyDescent="0.25">
      <c r="A13" s="70">
        <v>2177</v>
      </c>
      <c r="B13" s="70" t="s">
        <v>229</v>
      </c>
      <c r="C13" s="70">
        <v>0</v>
      </c>
      <c r="D13" s="70" t="s">
        <v>1633</v>
      </c>
      <c r="E13" s="70">
        <v>4</v>
      </c>
      <c r="F13" s="70"/>
      <c r="G13" s="70">
        <v>-191.55</v>
      </c>
      <c r="H13" s="70">
        <v>4.33</v>
      </c>
      <c r="I13" s="70">
        <v>106.26</v>
      </c>
      <c r="J13" s="70">
        <v>0.23</v>
      </c>
      <c r="K13" s="70">
        <v>-93.61</v>
      </c>
      <c r="L13" s="70">
        <v>-1.86</v>
      </c>
      <c r="M13" s="68">
        <f t="shared" si="0"/>
        <v>191.55</v>
      </c>
    </row>
    <row r="14" spans="1:17" x14ac:dyDescent="0.25">
      <c r="A14" s="70">
        <v>1832</v>
      </c>
      <c r="B14" s="70" t="s">
        <v>229</v>
      </c>
      <c r="C14" s="70">
        <v>0</v>
      </c>
      <c r="D14" s="70" t="s">
        <v>1272</v>
      </c>
      <c r="E14" s="70">
        <v>0</v>
      </c>
      <c r="F14" s="70"/>
      <c r="G14" s="70">
        <v>-203.2</v>
      </c>
      <c r="H14" s="70">
        <v>4.32</v>
      </c>
      <c r="I14" s="70">
        <v>106.07</v>
      </c>
      <c r="J14" s="70">
        <v>0.23</v>
      </c>
      <c r="K14" s="70">
        <v>11.86</v>
      </c>
      <c r="L14" s="70">
        <v>2.48</v>
      </c>
      <c r="M14" s="68">
        <f t="shared" si="0"/>
        <v>203.2</v>
      </c>
    </row>
    <row r="15" spans="1:17" x14ac:dyDescent="0.25">
      <c r="A15" s="70">
        <v>2384</v>
      </c>
      <c r="B15" s="70" t="s">
        <v>229</v>
      </c>
      <c r="C15" s="70">
        <v>0</v>
      </c>
      <c r="D15" s="70" t="s">
        <v>1848</v>
      </c>
      <c r="E15" s="70">
        <v>0</v>
      </c>
      <c r="F15" s="70"/>
      <c r="G15" s="70">
        <v>-203.61</v>
      </c>
      <c r="H15" s="70">
        <v>4.33</v>
      </c>
      <c r="I15" s="70">
        <v>106.04</v>
      </c>
      <c r="J15" s="70">
        <v>0.23</v>
      </c>
      <c r="K15" s="70">
        <v>11.85</v>
      </c>
      <c r="L15" s="70">
        <v>2.48</v>
      </c>
      <c r="M15" s="68">
        <f t="shared" si="0"/>
        <v>203.61</v>
      </c>
    </row>
    <row r="16" spans="1:17" x14ac:dyDescent="0.25">
      <c r="A16" s="70">
        <v>2108</v>
      </c>
      <c r="B16" s="70" t="s">
        <v>229</v>
      </c>
      <c r="C16" s="70">
        <v>0</v>
      </c>
      <c r="D16" s="70" t="s">
        <v>1561</v>
      </c>
      <c r="E16" s="70">
        <v>4</v>
      </c>
      <c r="F16" s="70"/>
      <c r="G16" s="70">
        <v>-185.25</v>
      </c>
      <c r="H16" s="70">
        <v>4.33</v>
      </c>
      <c r="I16" s="70">
        <v>105.93</v>
      </c>
      <c r="J16" s="70">
        <v>0.23</v>
      </c>
      <c r="K16" s="70">
        <v>-93.45</v>
      </c>
      <c r="L16" s="70">
        <v>-1.86</v>
      </c>
      <c r="M16" s="68">
        <f t="shared" si="0"/>
        <v>185.25</v>
      </c>
    </row>
    <row r="17" spans="1:13" x14ac:dyDescent="0.25">
      <c r="A17" s="70">
        <v>1901</v>
      </c>
      <c r="B17" s="70" t="s">
        <v>229</v>
      </c>
      <c r="C17" s="70">
        <v>0</v>
      </c>
      <c r="D17" s="70" t="s">
        <v>1344</v>
      </c>
      <c r="E17" s="70">
        <v>0</v>
      </c>
      <c r="F17" s="70"/>
      <c r="G17" s="70">
        <v>-196.89</v>
      </c>
      <c r="H17" s="70">
        <v>4.32</v>
      </c>
      <c r="I17" s="70">
        <v>105.73</v>
      </c>
      <c r="J17" s="70">
        <v>0.23</v>
      </c>
      <c r="K17" s="70">
        <v>11.69</v>
      </c>
      <c r="L17" s="70">
        <v>2.48</v>
      </c>
      <c r="M17" s="68">
        <f t="shared" si="0"/>
        <v>196.89</v>
      </c>
    </row>
    <row r="18" spans="1:13" x14ac:dyDescent="0.25">
      <c r="A18" s="70">
        <v>2315</v>
      </c>
      <c r="B18" s="70" t="s">
        <v>229</v>
      </c>
      <c r="C18" s="70">
        <v>0</v>
      </c>
      <c r="D18" s="70" t="s">
        <v>1776</v>
      </c>
      <c r="E18" s="70">
        <v>0</v>
      </c>
      <c r="F18" s="70"/>
      <c r="G18" s="70">
        <v>-197.22</v>
      </c>
      <c r="H18" s="70">
        <v>4.33</v>
      </c>
      <c r="I18" s="70">
        <v>105.71</v>
      </c>
      <c r="J18" s="70">
        <v>0.23</v>
      </c>
      <c r="K18" s="70">
        <v>11.68</v>
      </c>
      <c r="L18" s="70">
        <v>2.48</v>
      </c>
      <c r="M18" s="68">
        <f t="shared" si="0"/>
        <v>197.22</v>
      </c>
    </row>
    <row r="19" spans="1:13" x14ac:dyDescent="0.25">
      <c r="A19" s="70">
        <v>1970</v>
      </c>
      <c r="B19" s="70" t="s">
        <v>229</v>
      </c>
      <c r="C19" s="70">
        <v>0</v>
      </c>
      <c r="D19" s="70" t="s">
        <v>1416</v>
      </c>
      <c r="E19" s="70">
        <v>0</v>
      </c>
      <c r="F19" s="70"/>
      <c r="G19" s="70">
        <v>-190.58</v>
      </c>
      <c r="H19" s="70">
        <v>4.33</v>
      </c>
      <c r="I19" s="70">
        <v>105.39</v>
      </c>
      <c r="J19" s="70">
        <v>0.23</v>
      </c>
      <c r="K19" s="70">
        <v>11.52</v>
      </c>
      <c r="L19" s="70">
        <v>2.48</v>
      </c>
      <c r="M19" s="68">
        <f t="shared" si="0"/>
        <v>190.58</v>
      </c>
    </row>
    <row r="20" spans="1:13" x14ac:dyDescent="0.25">
      <c r="A20" s="70">
        <v>2246</v>
      </c>
      <c r="B20" s="70" t="s">
        <v>229</v>
      </c>
      <c r="C20" s="70">
        <v>0</v>
      </c>
      <c r="D20" s="70" t="s">
        <v>1704</v>
      </c>
      <c r="E20" s="70">
        <v>0</v>
      </c>
      <c r="F20" s="70"/>
      <c r="G20" s="70">
        <v>-190.83</v>
      </c>
      <c r="H20" s="70">
        <v>4.33</v>
      </c>
      <c r="I20" s="70">
        <v>105.38</v>
      </c>
      <c r="J20" s="70">
        <v>0.23</v>
      </c>
      <c r="K20" s="70">
        <v>11.51</v>
      </c>
      <c r="L20" s="70">
        <v>2.48</v>
      </c>
      <c r="M20" s="68">
        <f t="shared" si="0"/>
        <v>190.83</v>
      </c>
    </row>
    <row r="21" spans="1:13" x14ac:dyDescent="0.25">
      <c r="A21" s="70">
        <v>2039</v>
      </c>
      <c r="B21" s="70" t="s">
        <v>229</v>
      </c>
      <c r="C21" s="70">
        <v>0</v>
      </c>
      <c r="D21" s="70" t="s">
        <v>1488</v>
      </c>
      <c r="E21" s="70">
        <v>0</v>
      </c>
      <c r="F21" s="70"/>
      <c r="G21" s="70">
        <v>-184.28</v>
      </c>
      <c r="H21" s="70">
        <v>4.33</v>
      </c>
      <c r="I21" s="70">
        <v>105.05</v>
      </c>
      <c r="J21" s="70">
        <v>0.23</v>
      </c>
      <c r="K21" s="70">
        <v>11.35</v>
      </c>
      <c r="L21" s="70">
        <v>2.48</v>
      </c>
      <c r="M21" s="68">
        <f t="shared" si="0"/>
        <v>184.28</v>
      </c>
    </row>
    <row r="22" spans="1:13" x14ac:dyDescent="0.25">
      <c r="A22" s="70">
        <v>2177</v>
      </c>
      <c r="B22" s="70" t="s">
        <v>229</v>
      </c>
      <c r="C22" s="70">
        <v>0</v>
      </c>
      <c r="D22" s="70" t="s">
        <v>1632</v>
      </c>
      <c r="E22" s="70">
        <v>0</v>
      </c>
      <c r="F22" s="70"/>
      <c r="G22" s="70">
        <v>-184.45</v>
      </c>
      <c r="H22" s="70">
        <v>4.33</v>
      </c>
      <c r="I22" s="70">
        <v>105.05</v>
      </c>
      <c r="J22" s="70">
        <v>0.23</v>
      </c>
      <c r="K22" s="70">
        <v>11.35</v>
      </c>
      <c r="L22" s="70">
        <v>2.48</v>
      </c>
      <c r="M22" s="68">
        <f t="shared" si="0"/>
        <v>184.45</v>
      </c>
    </row>
    <row r="23" spans="1:13" x14ac:dyDescent="0.25">
      <c r="A23" s="70">
        <v>2108</v>
      </c>
      <c r="B23" s="70" t="s">
        <v>229</v>
      </c>
      <c r="C23" s="70">
        <v>0</v>
      </c>
      <c r="D23" s="70" t="s">
        <v>1560</v>
      </c>
      <c r="E23" s="70">
        <v>0</v>
      </c>
      <c r="F23" s="70"/>
      <c r="G23" s="70">
        <v>-178.15</v>
      </c>
      <c r="H23" s="70">
        <v>4.33</v>
      </c>
      <c r="I23" s="70">
        <v>104.72</v>
      </c>
      <c r="J23" s="70">
        <v>0.23</v>
      </c>
      <c r="K23" s="70">
        <v>11.18</v>
      </c>
      <c r="L23" s="70">
        <v>2.48</v>
      </c>
      <c r="M23" s="68">
        <f t="shared" si="0"/>
        <v>178.15</v>
      </c>
    </row>
    <row r="24" spans="1:13" x14ac:dyDescent="0.25">
      <c r="A24" s="70">
        <v>18</v>
      </c>
      <c r="B24" s="70" t="s">
        <v>229</v>
      </c>
      <c r="C24" s="70">
        <v>0</v>
      </c>
      <c r="D24" s="70" t="s">
        <v>1129</v>
      </c>
      <c r="E24" s="70">
        <v>4</v>
      </c>
      <c r="F24" s="70"/>
      <c r="G24" s="70">
        <v>-110.68</v>
      </c>
      <c r="H24" s="70">
        <v>1.04</v>
      </c>
      <c r="I24" s="70">
        <v>53.94</v>
      </c>
      <c r="J24" s="70">
        <v>0.08</v>
      </c>
      <c r="K24" s="70">
        <v>-47.2</v>
      </c>
      <c r="L24" s="70">
        <v>-0.48</v>
      </c>
      <c r="M24" s="68">
        <f t="shared" si="0"/>
        <v>110.68</v>
      </c>
    </row>
    <row r="25" spans="1:13" x14ac:dyDescent="0.25">
      <c r="A25" s="70">
        <v>2522</v>
      </c>
      <c r="B25" s="70" t="s">
        <v>229</v>
      </c>
      <c r="C25" s="70">
        <v>0</v>
      </c>
      <c r="D25" s="70" t="s">
        <v>1993</v>
      </c>
      <c r="E25" s="70">
        <v>4</v>
      </c>
      <c r="F25" s="70"/>
      <c r="G25" s="70">
        <v>-110.95</v>
      </c>
      <c r="H25" s="70">
        <v>1.04</v>
      </c>
      <c r="I25" s="70">
        <v>53.92</v>
      </c>
      <c r="J25" s="70">
        <v>0.08</v>
      </c>
      <c r="K25" s="70">
        <v>-47.2</v>
      </c>
      <c r="L25" s="70">
        <v>-0.48</v>
      </c>
      <c r="M25" s="68">
        <f t="shared" si="0"/>
        <v>110.95</v>
      </c>
    </row>
    <row r="26" spans="1:13" x14ac:dyDescent="0.25">
      <c r="A26" s="70">
        <v>18</v>
      </c>
      <c r="B26" s="70" t="s">
        <v>229</v>
      </c>
      <c r="C26" s="70">
        <v>0</v>
      </c>
      <c r="D26" s="70" t="s">
        <v>1128</v>
      </c>
      <c r="E26" s="70">
        <v>0</v>
      </c>
      <c r="F26" s="70"/>
      <c r="G26" s="70">
        <v>-107.13</v>
      </c>
      <c r="H26" s="70">
        <v>1.04</v>
      </c>
      <c r="I26" s="70">
        <v>53.34</v>
      </c>
      <c r="J26" s="70">
        <v>0.08</v>
      </c>
      <c r="K26" s="70">
        <v>6.35</v>
      </c>
      <c r="L26" s="70">
        <v>0.55000000000000004</v>
      </c>
      <c r="M26" s="68">
        <f t="shared" si="0"/>
        <v>107.13</v>
      </c>
    </row>
    <row r="27" spans="1:13" x14ac:dyDescent="0.25">
      <c r="A27" s="70">
        <v>2522</v>
      </c>
      <c r="B27" s="70" t="s">
        <v>229</v>
      </c>
      <c r="C27" s="70">
        <v>0</v>
      </c>
      <c r="D27" s="70" t="s">
        <v>1992</v>
      </c>
      <c r="E27" s="70">
        <v>0</v>
      </c>
      <c r="F27" s="70"/>
      <c r="G27" s="70">
        <v>-107.4</v>
      </c>
      <c r="H27" s="70">
        <v>1.04</v>
      </c>
      <c r="I27" s="70">
        <v>53.31</v>
      </c>
      <c r="J27" s="70">
        <v>0.08</v>
      </c>
      <c r="K27" s="70">
        <v>6.34</v>
      </c>
      <c r="L27" s="70">
        <v>0.55000000000000004</v>
      </c>
      <c r="M27" s="68">
        <f t="shared" si="0"/>
        <v>107.4</v>
      </c>
    </row>
    <row r="28" spans="1:13" x14ac:dyDescent="0.25">
      <c r="A28" s="70">
        <v>2436</v>
      </c>
      <c r="B28" s="70" t="s">
        <v>229</v>
      </c>
      <c r="C28" s="70">
        <v>0</v>
      </c>
      <c r="D28" s="70" t="s">
        <v>1887</v>
      </c>
      <c r="E28" s="70">
        <v>4</v>
      </c>
      <c r="F28" s="70"/>
      <c r="G28" s="70">
        <v>-982.19</v>
      </c>
      <c r="H28" s="70">
        <v>2.2799999999999998</v>
      </c>
      <c r="I28" s="70">
        <v>43.47</v>
      </c>
      <c r="J28" s="70">
        <v>0.28999999999999998</v>
      </c>
      <c r="K28" s="70">
        <v>21.66</v>
      </c>
      <c r="L28" s="70">
        <v>-1.45</v>
      </c>
      <c r="M28" s="68">
        <f t="shared" si="0"/>
        <v>982.19</v>
      </c>
    </row>
    <row r="29" spans="1:13" x14ac:dyDescent="0.25">
      <c r="A29" s="70">
        <v>1746</v>
      </c>
      <c r="B29" s="70" t="s">
        <v>229</v>
      </c>
      <c r="C29" s="70">
        <v>0</v>
      </c>
      <c r="D29" s="70" t="s">
        <v>1167</v>
      </c>
      <c r="E29" s="70">
        <v>4</v>
      </c>
      <c r="F29" s="70"/>
      <c r="G29" s="70">
        <v>-985.44</v>
      </c>
      <c r="H29" s="70">
        <v>2.29</v>
      </c>
      <c r="I29" s="70">
        <v>43.33</v>
      </c>
      <c r="J29" s="70">
        <v>0.28999999999999998</v>
      </c>
      <c r="K29" s="70">
        <v>21.29</v>
      </c>
      <c r="L29" s="70">
        <v>-1.46</v>
      </c>
      <c r="M29" s="68">
        <f t="shared" si="0"/>
        <v>985.44</v>
      </c>
    </row>
    <row r="30" spans="1:13" x14ac:dyDescent="0.25">
      <c r="A30" s="70">
        <v>2367</v>
      </c>
      <c r="B30" s="70" t="s">
        <v>229</v>
      </c>
      <c r="C30" s="70">
        <v>0</v>
      </c>
      <c r="D30" s="70" t="s">
        <v>1815</v>
      </c>
      <c r="E30" s="70">
        <v>4</v>
      </c>
      <c r="F30" s="70"/>
      <c r="G30" s="70">
        <v>-971.56</v>
      </c>
      <c r="H30" s="70">
        <v>2.2799999999999998</v>
      </c>
      <c r="I30" s="70">
        <v>42.63</v>
      </c>
      <c r="J30" s="70">
        <v>0.28999999999999998</v>
      </c>
      <c r="K30" s="70">
        <v>21.51</v>
      </c>
      <c r="L30" s="70">
        <v>-1.45</v>
      </c>
      <c r="M30" s="68">
        <f t="shared" si="0"/>
        <v>971.56</v>
      </c>
    </row>
    <row r="31" spans="1:13" x14ac:dyDescent="0.25">
      <c r="A31" s="70">
        <v>1815</v>
      </c>
      <c r="B31" s="70" t="s">
        <v>229</v>
      </c>
      <c r="C31" s="70">
        <v>0</v>
      </c>
      <c r="D31" s="70" t="s">
        <v>1239</v>
      </c>
      <c r="E31" s="70">
        <v>4</v>
      </c>
      <c r="F31" s="70"/>
      <c r="G31" s="70">
        <v>-974.23</v>
      </c>
      <c r="H31" s="70">
        <v>2.29</v>
      </c>
      <c r="I31" s="70">
        <v>42.5</v>
      </c>
      <c r="J31" s="70">
        <v>0.28999999999999998</v>
      </c>
      <c r="K31" s="70">
        <v>21.21</v>
      </c>
      <c r="L31" s="70">
        <v>-1.46</v>
      </c>
      <c r="M31" s="68">
        <f t="shared" si="0"/>
        <v>974.23</v>
      </c>
    </row>
    <row r="32" spans="1:13" x14ac:dyDescent="0.25">
      <c r="A32" s="70">
        <v>2436</v>
      </c>
      <c r="B32" s="70" t="s">
        <v>229</v>
      </c>
      <c r="C32" s="70">
        <v>0</v>
      </c>
      <c r="D32" s="70" t="s">
        <v>1886</v>
      </c>
      <c r="E32" s="70">
        <v>0</v>
      </c>
      <c r="F32" s="70"/>
      <c r="G32" s="70">
        <v>-989.29</v>
      </c>
      <c r="H32" s="70">
        <v>2.2799999999999998</v>
      </c>
      <c r="I32" s="70">
        <v>42.26</v>
      </c>
      <c r="J32" s="70">
        <v>0.28999999999999998</v>
      </c>
      <c r="K32" s="70">
        <v>48.68</v>
      </c>
      <c r="L32" s="70">
        <v>2.04</v>
      </c>
      <c r="M32" s="68">
        <f t="shared" si="0"/>
        <v>989.29</v>
      </c>
    </row>
    <row r="33" spans="1:13" x14ac:dyDescent="0.25">
      <c r="A33" s="70">
        <v>1746</v>
      </c>
      <c r="B33" s="70" t="s">
        <v>229</v>
      </c>
      <c r="C33" s="70">
        <v>0</v>
      </c>
      <c r="D33" s="70" t="s">
        <v>1166</v>
      </c>
      <c r="E33" s="70">
        <v>0</v>
      </c>
      <c r="F33" s="70"/>
      <c r="G33" s="70">
        <v>-992.54</v>
      </c>
      <c r="H33" s="70">
        <v>2.29</v>
      </c>
      <c r="I33" s="70">
        <v>42.11</v>
      </c>
      <c r="J33" s="70">
        <v>0.28999999999999998</v>
      </c>
      <c r="K33" s="70">
        <v>48.62</v>
      </c>
      <c r="L33" s="70">
        <v>2.04</v>
      </c>
      <c r="M33" s="68">
        <f t="shared" si="0"/>
        <v>992.54</v>
      </c>
    </row>
    <row r="34" spans="1:13" x14ac:dyDescent="0.25">
      <c r="A34" s="70">
        <v>2298</v>
      </c>
      <c r="B34" s="70" t="s">
        <v>229</v>
      </c>
      <c r="C34" s="70">
        <v>0</v>
      </c>
      <c r="D34" s="70" t="s">
        <v>1743</v>
      </c>
      <c r="E34" s="70">
        <v>4</v>
      </c>
      <c r="F34" s="70"/>
      <c r="G34" s="70">
        <v>-960.95</v>
      </c>
      <c r="H34" s="70">
        <v>2.2799999999999998</v>
      </c>
      <c r="I34" s="70">
        <v>41.78</v>
      </c>
      <c r="J34" s="70">
        <v>0.28999999999999998</v>
      </c>
      <c r="K34" s="70">
        <v>21.37</v>
      </c>
      <c r="L34" s="70">
        <v>-1.45</v>
      </c>
      <c r="M34" s="68">
        <f t="shared" si="0"/>
        <v>960.95</v>
      </c>
    </row>
    <row r="35" spans="1:13" x14ac:dyDescent="0.25">
      <c r="A35" s="70">
        <v>1884</v>
      </c>
      <c r="B35" s="70" t="s">
        <v>229</v>
      </c>
      <c r="C35" s="70">
        <v>0</v>
      </c>
      <c r="D35" s="70" t="s">
        <v>1311</v>
      </c>
      <c r="E35" s="70">
        <v>4</v>
      </c>
      <c r="F35" s="70"/>
      <c r="G35" s="70">
        <v>-963.04</v>
      </c>
      <c r="H35" s="70">
        <v>2.29</v>
      </c>
      <c r="I35" s="70">
        <v>41.67</v>
      </c>
      <c r="J35" s="70">
        <v>0.28999999999999998</v>
      </c>
      <c r="K35" s="70">
        <v>21.13</v>
      </c>
      <c r="L35" s="70">
        <v>-1.46</v>
      </c>
      <c r="M35" s="68">
        <f t="shared" si="0"/>
        <v>963.04</v>
      </c>
    </row>
    <row r="36" spans="1:13" x14ac:dyDescent="0.25">
      <c r="A36" s="70">
        <v>2367</v>
      </c>
      <c r="B36" s="70" t="s">
        <v>229</v>
      </c>
      <c r="C36" s="70">
        <v>0</v>
      </c>
      <c r="D36" s="70" t="s">
        <v>1814</v>
      </c>
      <c r="E36" s="70">
        <v>0</v>
      </c>
      <c r="F36" s="70"/>
      <c r="G36" s="70">
        <v>-978.66</v>
      </c>
      <c r="H36" s="70">
        <v>2.2799999999999998</v>
      </c>
      <c r="I36" s="70">
        <v>41.41</v>
      </c>
      <c r="J36" s="70">
        <v>0.28999999999999998</v>
      </c>
      <c r="K36" s="70">
        <v>48.27</v>
      </c>
      <c r="L36" s="70">
        <v>2.04</v>
      </c>
      <c r="M36" s="68">
        <f t="shared" si="0"/>
        <v>978.66</v>
      </c>
    </row>
    <row r="37" spans="1:13" x14ac:dyDescent="0.25">
      <c r="A37" s="70">
        <v>1815</v>
      </c>
      <c r="B37" s="70" t="s">
        <v>229</v>
      </c>
      <c r="C37" s="70">
        <v>0</v>
      </c>
      <c r="D37" s="70" t="s">
        <v>1238</v>
      </c>
      <c r="E37" s="70">
        <v>0</v>
      </c>
      <c r="F37" s="70"/>
      <c r="G37" s="70">
        <v>-981.33</v>
      </c>
      <c r="H37" s="70">
        <v>2.29</v>
      </c>
      <c r="I37" s="70">
        <v>41.28</v>
      </c>
      <c r="J37" s="70">
        <v>0.28999999999999998</v>
      </c>
      <c r="K37" s="70">
        <v>48.21</v>
      </c>
      <c r="L37" s="70">
        <v>2.04</v>
      </c>
      <c r="M37" s="68">
        <f t="shared" si="0"/>
        <v>981.33</v>
      </c>
    </row>
    <row r="38" spans="1:13" x14ac:dyDescent="0.25">
      <c r="A38" s="70">
        <v>2229</v>
      </c>
      <c r="B38" s="70" t="s">
        <v>229</v>
      </c>
      <c r="C38" s="70">
        <v>0</v>
      </c>
      <c r="D38" s="70" t="s">
        <v>1671</v>
      </c>
      <c r="E38" s="70">
        <v>4</v>
      </c>
      <c r="F38" s="70"/>
      <c r="G38" s="70">
        <v>-950.34</v>
      </c>
      <c r="H38" s="70">
        <v>2.2799999999999998</v>
      </c>
      <c r="I38" s="70">
        <v>40.93</v>
      </c>
      <c r="J38" s="70">
        <v>0.28999999999999998</v>
      </c>
      <c r="K38" s="70">
        <v>21.23</v>
      </c>
      <c r="L38" s="70">
        <v>-1.45</v>
      </c>
      <c r="M38" s="68">
        <f t="shared" si="0"/>
        <v>950.34</v>
      </c>
    </row>
    <row r="39" spans="1:13" x14ac:dyDescent="0.25">
      <c r="A39" s="70">
        <v>1953</v>
      </c>
      <c r="B39" s="70" t="s">
        <v>229</v>
      </c>
      <c r="C39" s="70">
        <v>0</v>
      </c>
      <c r="D39" s="70" t="s">
        <v>1383</v>
      </c>
      <c r="E39" s="70">
        <v>4</v>
      </c>
      <c r="F39" s="70"/>
      <c r="G39" s="70">
        <v>-951.85</v>
      </c>
      <c r="H39" s="70">
        <v>2.29</v>
      </c>
      <c r="I39" s="70">
        <v>40.85</v>
      </c>
      <c r="J39" s="70">
        <v>0.28999999999999998</v>
      </c>
      <c r="K39" s="70">
        <v>21.05</v>
      </c>
      <c r="L39" s="70">
        <v>-1.46</v>
      </c>
      <c r="M39" s="68">
        <f t="shared" si="0"/>
        <v>951.85</v>
      </c>
    </row>
    <row r="40" spans="1:13" x14ac:dyDescent="0.25">
      <c r="A40" s="70">
        <v>2298</v>
      </c>
      <c r="B40" s="70" t="s">
        <v>229</v>
      </c>
      <c r="C40" s="70">
        <v>0</v>
      </c>
      <c r="D40" s="70" t="s">
        <v>1742</v>
      </c>
      <c r="E40" s="70">
        <v>0</v>
      </c>
      <c r="F40" s="70"/>
      <c r="G40" s="70">
        <v>-968.05</v>
      </c>
      <c r="H40" s="70">
        <v>2.2799999999999998</v>
      </c>
      <c r="I40" s="70">
        <v>40.57</v>
      </c>
      <c r="J40" s="70">
        <v>0.28999999999999998</v>
      </c>
      <c r="K40" s="70">
        <v>47.85</v>
      </c>
      <c r="L40" s="70">
        <v>2.04</v>
      </c>
      <c r="M40" s="68">
        <f t="shared" si="0"/>
        <v>968.05</v>
      </c>
    </row>
    <row r="41" spans="1:13" x14ac:dyDescent="0.25">
      <c r="A41" s="70">
        <v>1884</v>
      </c>
      <c r="B41" s="70" t="s">
        <v>229</v>
      </c>
      <c r="C41" s="70">
        <v>0</v>
      </c>
      <c r="D41" s="70" t="s">
        <v>1310</v>
      </c>
      <c r="E41" s="70">
        <v>0</v>
      </c>
      <c r="F41" s="70"/>
      <c r="G41" s="70">
        <v>-970.14</v>
      </c>
      <c r="H41" s="70">
        <v>2.29</v>
      </c>
      <c r="I41" s="70">
        <v>40.450000000000003</v>
      </c>
      <c r="J41" s="70">
        <v>0.28999999999999998</v>
      </c>
      <c r="K41" s="70">
        <v>47.81</v>
      </c>
      <c r="L41" s="70">
        <v>2.04</v>
      </c>
      <c r="M41" s="68">
        <f t="shared" si="0"/>
        <v>970.14</v>
      </c>
    </row>
    <row r="42" spans="1:13" x14ac:dyDescent="0.25">
      <c r="A42" s="70">
        <v>2160</v>
      </c>
      <c r="B42" s="70" t="s">
        <v>229</v>
      </c>
      <c r="C42" s="70">
        <v>0</v>
      </c>
      <c r="D42" s="70" t="s">
        <v>1599</v>
      </c>
      <c r="E42" s="70">
        <v>4</v>
      </c>
      <c r="F42" s="70"/>
      <c r="G42" s="70">
        <v>-939.77</v>
      </c>
      <c r="H42" s="70">
        <v>2.2799999999999998</v>
      </c>
      <c r="I42" s="70">
        <v>40.08</v>
      </c>
      <c r="J42" s="70">
        <v>0.28999999999999998</v>
      </c>
      <c r="K42" s="70">
        <v>21.09</v>
      </c>
      <c r="L42" s="70">
        <v>-1.45</v>
      </c>
      <c r="M42" s="68">
        <f t="shared" si="0"/>
        <v>939.77</v>
      </c>
    </row>
    <row r="43" spans="1:13" x14ac:dyDescent="0.25">
      <c r="A43" s="70">
        <v>2022</v>
      </c>
      <c r="B43" s="70" t="s">
        <v>229</v>
      </c>
      <c r="C43" s="70">
        <v>0</v>
      </c>
      <c r="D43" s="70" t="s">
        <v>1455</v>
      </c>
      <c r="E43" s="70">
        <v>4</v>
      </c>
      <c r="F43" s="70"/>
      <c r="G43" s="70">
        <v>-940.67</v>
      </c>
      <c r="H43" s="70">
        <v>2.2799999999999998</v>
      </c>
      <c r="I43" s="70">
        <v>40.04</v>
      </c>
      <c r="J43" s="70">
        <v>0.28999999999999998</v>
      </c>
      <c r="K43" s="70">
        <v>21</v>
      </c>
      <c r="L43" s="70">
        <v>-1.46</v>
      </c>
      <c r="M43" s="68">
        <f t="shared" si="0"/>
        <v>940.67</v>
      </c>
    </row>
    <row r="44" spans="1:13" x14ac:dyDescent="0.25">
      <c r="A44" s="70">
        <v>2229</v>
      </c>
      <c r="B44" s="70" t="s">
        <v>229</v>
      </c>
      <c r="C44" s="70">
        <v>0</v>
      </c>
      <c r="D44" s="70" t="s">
        <v>1670</v>
      </c>
      <c r="E44" s="70">
        <v>0</v>
      </c>
      <c r="F44" s="70"/>
      <c r="G44" s="70">
        <v>-957.44</v>
      </c>
      <c r="H44" s="70">
        <v>2.2799999999999998</v>
      </c>
      <c r="I44" s="70">
        <v>39.72</v>
      </c>
      <c r="J44" s="70">
        <v>0.28999999999999998</v>
      </c>
      <c r="K44" s="70">
        <v>47.44</v>
      </c>
      <c r="L44" s="70">
        <v>2.04</v>
      </c>
      <c r="M44" s="68">
        <f t="shared" si="0"/>
        <v>957.44</v>
      </c>
    </row>
    <row r="45" spans="1:13" x14ac:dyDescent="0.25">
      <c r="A45" s="70">
        <v>1953</v>
      </c>
      <c r="B45" s="70" t="s">
        <v>229</v>
      </c>
      <c r="C45" s="70">
        <v>0</v>
      </c>
      <c r="D45" s="70" t="s">
        <v>1382</v>
      </c>
      <c r="E45" s="70">
        <v>0</v>
      </c>
      <c r="F45" s="70"/>
      <c r="G45" s="70">
        <v>-958.95</v>
      </c>
      <c r="H45" s="70">
        <v>2.29</v>
      </c>
      <c r="I45" s="70">
        <v>39.64</v>
      </c>
      <c r="J45" s="70">
        <v>0.28999999999999998</v>
      </c>
      <c r="K45" s="70">
        <v>47.41</v>
      </c>
      <c r="L45" s="70">
        <v>2.04</v>
      </c>
      <c r="M45" s="68">
        <f t="shared" si="0"/>
        <v>958.95</v>
      </c>
    </row>
    <row r="46" spans="1:13" x14ac:dyDescent="0.25">
      <c r="A46" s="70">
        <v>2091</v>
      </c>
      <c r="B46" s="70" t="s">
        <v>229</v>
      </c>
      <c r="C46" s="70">
        <v>0</v>
      </c>
      <c r="D46" s="70" t="s">
        <v>1527</v>
      </c>
      <c r="E46" s="70">
        <v>4</v>
      </c>
      <c r="F46" s="70"/>
      <c r="G46" s="70">
        <v>-929.56</v>
      </c>
      <c r="H46" s="70">
        <v>2.2799999999999998</v>
      </c>
      <c r="I46" s="70">
        <v>39.25</v>
      </c>
      <c r="J46" s="70">
        <v>0.28999999999999998</v>
      </c>
      <c r="K46" s="70">
        <v>20.96</v>
      </c>
      <c r="L46" s="70">
        <v>-1.45</v>
      </c>
      <c r="M46" s="68">
        <f t="shared" si="0"/>
        <v>929.56</v>
      </c>
    </row>
    <row r="47" spans="1:13" x14ac:dyDescent="0.25">
      <c r="A47" s="70">
        <v>2160</v>
      </c>
      <c r="B47" s="70" t="s">
        <v>229</v>
      </c>
      <c r="C47" s="70">
        <v>0</v>
      </c>
      <c r="D47" s="70" t="s">
        <v>1598</v>
      </c>
      <c r="E47" s="70">
        <v>0</v>
      </c>
      <c r="F47" s="70"/>
      <c r="G47" s="70">
        <v>-946.87</v>
      </c>
      <c r="H47" s="70">
        <v>2.2799999999999998</v>
      </c>
      <c r="I47" s="70">
        <v>38.869999999999997</v>
      </c>
      <c r="J47" s="70">
        <v>0.28999999999999998</v>
      </c>
      <c r="K47" s="70">
        <v>47.02</v>
      </c>
      <c r="L47" s="70">
        <v>2.04</v>
      </c>
      <c r="M47" s="68">
        <f t="shared" si="0"/>
        <v>946.87</v>
      </c>
    </row>
    <row r="48" spans="1:13" x14ac:dyDescent="0.25">
      <c r="A48" s="70">
        <v>2022</v>
      </c>
      <c r="B48" s="70" t="s">
        <v>229</v>
      </c>
      <c r="C48" s="70">
        <v>0</v>
      </c>
      <c r="D48" s="70" t="s">
        <v>1454</v>
      </c>
      <c r="E48" s="70">
        <v>0</v>
      </c>
      <c r="F48" s="70"/>
      <c r="G48" s="70">
        <v>-947.77</v>
      </c>
      <c r="H48" s="70">
        <v>2.2799999999999998</v>
      </c>
      <c r="I48" s="70">
        <v>38.83</v>
      </c>
      <c r="J48" s="70">
        <v>0.28999999999999998</v>
      </c>
      <c r="K48" s="70">
        <v>47.01</v>
      </c>
      <c r="L48" s="70">
        <v>2.04</v>
      </c>
      <c r="M48" s="68">
        <f t="shared" si="0"/>
        <v>947.77</v>
      </c>
    </row>
    <row r="49" spans="1:13" x14ac:dyDescent="0.25">
      <c r="A49" s="70">
        <v>2091</v>
      </c>
      <c r="B49" s="70" t="s">
        <v>229</v>
      </c>
      <c r="C49" s="70">
        <v>0</v>
      </c>
      <c r="D49" s="70" t="s">
        <v>1526</v>
      </c>
      <c r="E49" s="70">
        <v>0</v>
      </c>
      <c r="F49" s="70"/>
      <c r="G49" s="70">
        <v>-936.66</v>
      </c>
      <c r="H49" s="70">
        <v>2.2799999999999998</v>
      </c>
      <c r="I49" s="70">
        <v>38.04</v>
      </c>
      <c r="J49" s="70">
        <v>0.28999999999999998</v>
      </c>
      <c r="K49" s="70">
        <v>46.62</v>
      </c>
      <c r="L49" s="70">
        <v>2.04</v>
      </c>
      <c r="M49" s="68">
        <f t="shared" si="0"/>
        <v>936.66</v>
      </c>
    </row>
    <row r="50" spans="1:13" x14ac:dyDescent="0.25">
      <c r="A50" s="70">
        <v>1804</v>
      </c>
      <c r="B50" s="70" t="s">
        <v>229</v>
      </c>
      <c r="C50" s="70">
        <v>0</v>
      </c>
      <c r="D50" s="70" t="s">
        <v>1221</v>
      </c>
      <c r="E50" s="70">
        <v>4</v>
      </c>
      <c r="F50" s="70"/>
      <c r="G50" s="70">
        <v>174.95</v>
      </c>
      <c r="H50" s="70">
        <v>-7.65</v>
      </c>
      <c r="I50" s="70">
        <v>27.54</v>
      </c>
      <c r="J50" s="70">
        <v>-0.6</v>
      </c>
      <c r="K50" s="70">
        <v>-9.84</v>
      </c>
      <c r="L50" s="70">
        <v>3.79</v>
      </c>
      <c r="M50" s="68">
        <f t="shared" si="0"/>
        <v>-174.95</v>
      </c>
    </row>
    <row r="51" spans="1:13" x14ac:dyDescent="0.25">
      <c r="A51" s="70">
        <v>2494</v>
      </c>
      <c r="B51" s="70" t="s">
        <v>229</v>
      </c>
      <c r="C51" s="70">
        <v>0</v>
      </c>
      <c r="D51" s="70" t="s">
        <v>1941</v>
      </c>
      <c r="E51" s="70">
        <v>4</v>
      </c>
      <c r="F51" s="70"/>
      <c r="G51" s="70">
        <v>176.03</v>
      </c>
      <c r="H51" s="70">
        <v>-7.64</v>
      </c>
      <c r="I51" s="70">
        <v>27.11</v>
      </c>
      <c r="J51" s="70">
        <v>-0.6</v>
      </c>
      <c r="K51" s="70">
        <v>-9.6</v>
      </c>
      <c r="L51" s="70">
        <v>3.78</v>
      </c>
      <c r="M51" s="68">
        <f t="shared" si="0"/>
        <v>-176.03</v>
      </c>
    </row>
    <row r="52" spans="1:13" x14ac:dyDescent="0.25">
      <c r="A52" s="70">
        <v>1805</v>
      </c>
      <c r="B52" s="70" t="s">
        <v>229</v>
      </c>
      <c r="C52" s="70">
        <v>0</v>
      </c>
      <c r="D52" s="70" t="s">
        <v>1223</v>
      </c>
      <c r="E52" s="70">
        <v>4</v>
      </c>
      <c r="F52" s="70"/>
      <c r="G52" s="70">
        <v>-58.6</v>
      </c>
      <c r="H52" s="70">
        <v>-8.1999999999999993</v>
      </c>
      <c r="I52" s="70">
        <v>26.58</v>
      </c>
      <c r="J52" s="70">
        <v>-0.56999999999999995</v>
      </c>
      <c r="K52" s="70">
        <v>-15.32</v>
      </c>
      <c r="L52" s="70">
        <v>3.91</v>
      </c>
      <c r="M52" s="68">
        <f t="shared" si="0"/>
        <v>58.6</v>
      </c>
    </row>
    <row r="53" spans="1:13" x14ac:dyDescent="0.25">
      <c r="A53" s="70">
        <v>1747</v>
      </c>
      <c r="B53" s="70" t="s">
        <v>229</v>
      </c>
      <c r="C53" s="70">
        <v>0</v>
      </c>
      <c r="D53" s="70" t="s">
        <v>1169</v>
      </c>
      <c r="E53" s="70">
        <v>4</v>
      </c>
      <c r="F53" s="70"/>
      <c r="G53" s="70">
        <v>-860.06</v>
      </c>
      <c r="H53" s="70">
        <v>7.82</v>
      </c>
      <c r="I53" s="70">
        <v>26.47</v>
      </c>
      <c r="J53" s="70">
        <v>0.27</v>
      </c>
      <c r="K53" s="70">
        <v>-8.3000000000000007</v>
      </c>
      <c r="L53" s="70">
        <v>-3.78</v>
      </c>
      <c r="M53" s="68">
        <f t="shared" si="0"/>
        <v>860.06</v>
      </c>
    </row>
    <row r="54" spans="1:13" x14ac:dyDescent="0.25">
      <c r="A54" s="70">
        <v>2495</v>
      </c>
      <c r="B54" s="70" t="s">
        <v>229</v>
      </c>
      <c r="C54" s="70">
        <v>0</v>
      </c>
      <c r="D54" s="70" t="s">
        <v>1943</v>
      </c>
      <c r="E54" s="70">
        <v>4</v>
      </c>
      <c r="F54" s="70"/>
      <c r="G54" s="70">
        <v>-60.36</v>
      </c>
      <c r="H54" s="70">
        <v>-8.17</v>
      </c>
      <c r="I54" s="70">
        <v>26.21</v>
      </c>
      <c r="J54" s="70">
        <v>-0.56999999999999995</v>
      </c>
      <c r="K54" s="70">
        <v>-15.09</v>
      </c>
      <c r="L54" s="70">
        <v>3.9</v>
      </c>
      <c r="M54" s="68">
        <f t="shared" si="0"/>
        <v>60.36</v>
      </c>
    </row>
    <row r="55" spans="1:13" x14ac:dyDescent="0.25">
      <c r="A55" s="70">
        <v>2437</v>
      </c>
      <c r="B55" s="70" t="s">
        <v>229</v>
      </c>
      <c r="C55" s="70">
        <v>0</v>
      </c>
      <c r="D55" s="70" t="s">
        <v>1889</v>
      </c>
      <c r="E55" s="70">
        <v>4</v>
      </c>
      <c r="F55" s="70"/>
      <c r="G55" s="70">
        <v>-857.01</v>
      </c>
      <c r="H55" s="70">
        <v>7.79</v>
      </c>
      <c r="I55" s="70">
        <v>26.11</v>
      </c>
      <c r="J55" s="70">
        <v>0.27</v>
      </c>
      <c r="K55" s="70">
        <v>-8.42</v>
      </c>
      <c r="L55" s="70">
        <v>3.77</v>
      </c>
      <c r="M55" s="68">
        <f t="shared" si="0"/>
        <v>857.01</v>
      </c>
    </row>
    <row r="56" spans="1:13" x14ac:dyDescent="0.25">
      <c r="A56" s="70">
        <v>1816</v>
      </c>
      <c r="B56" s="70" t="s">
        <v>229</v>
      </c>
      <c r="C56" s="70">
        <v>0</v>
      </c>
      <c r="D56" s="70" t="s">
        <v>1241</v>
      </c>
      <c r="E56" s="70">
        <v>4</v>
      </c>
      <c r="F56" s="70"/>
      <c r="G56" s="70">
        <v>-850.54</v>
      </c>
      <c r="H56" s="70">
        <v>7.82</v>
      </c>
      <c r="I56" s="70">
        <v>25.86</v>
      </c>
      <c r="J56" s="70">
        <v>0.27</v>
      </c>
      <c r="K56" s="70">
        <v>-7.61</v>
      </c>
      <c r="L56" s="70">
        <v>-3.78</v>
      </c>
      <c r="M56" s="68">
        <f t="shared" si="0"/>
        <v>850.54</v>
      </c>
    </row>
    <row r="57" spans="1:13" x14ac:dyDescent="0.25">
      <c r="A57" s="70">
        <v>2368</v>
      </c>
      <c r="B57" s="70" t="s">
        <v>229</v>
      </c>
      <c r="C57" s="70">
        <v>0</v>
      </c>
      <c r="D57" s="70" t="s">
        <v>1817</v>
      </c>
      <c r="E57" s="70">
        <v>4</v>
      </c>
      <c r="F57" s="70"/>
      <c r="G57" s="70">
        <v>-847.96</v>
      </c>
      <c r="H57" s="70">
        <v>7.8</v>
      </c>
      <c r="I57" s="70">
        <v>25.54</v>
      </c>
      <c r="J57" s="70">
        <v>0.27</v>
      </c>
      <c r="K57" s="70">
        <v>-7.69</v>
      </c>
      <c r="L57" s="70">
        <v>3.77</v>
      </c>
      <c r="M57" s="68">
        <f t="shared" si="0"/>
        <v>847.96</v>
      </c>
    </row>
    <row r="58" spans="1:13" x14ac:dyDescent="0.25">
      <c r="A58" s="70">
        <v>1885</v>
      </c>
      <c r="B58" s="70" t="s">
        <v>229</v>
      </c>
      <c r="C58" s="70">
        <v>0</v>
      </c>
      <c r="D58" s="70" t="s">
        <v>1313</v>
      </c>
      <c r="E58" s="70">
        <v>4</v>
      </c>
      <c r="F58" s="70"/>
      <c r="G58" s="70">
        <v>-841.03</v>
      </c>
      <c r="H58" s="70">
        <v>7.82</v>
      </c>
      <c r="I58" s="70">
        <v>25.24</v>
      </c>
      <c r="J58" s="70">
        <v>0.27</v>
      </c>
      <c r="K58" s="70">
        <v>-6.95</v>
      </c>
      <c r="L58" s="70">
        <v>-3.78</v>
      </c>
      <c r="M58" s="68">
        <f t="shared" si="0"/>
        <v>841.03</v>
      </c>
    </row>
    <row r="59" spans="1:13" x14ac:dyDescent="0.25">
      <c r="A59" s="70">
        <v>2299</v>
      </c>
      <c r="B59" s="70" t="s">
        <v>229</v>
      </c>
      <c r="C59" s="70">
        <v>0</v>
      </c>
      <c r="D59" s="70" t="s">
        <v>1745</v>
      </c>
      <c r="E59" s="70">
        <v>4</v>
      </c>
      <c r="F59" s="70"/>
      <c r="G59" s="70">
        <v>-838.92</v>
      </c>
      <c r="H59" s="70">
        <v>7.8</v>
      </c>
      <c r="I59" s="70">
        <v>24.98</v>
      </c>
      <c r="J59" s="70">
        <v>0.27</v>
      </c>
      <c r="K59" s="70">
        <v>-6.98</v>
      </c>
      <c r="L59" s="70">
        <v>3.77</v>
      </c>
      <c r="M59" s="68">
        <f t="shared" si="0"/>
        <v>838.92</v>
      </c>
    </row>
    <row r="60" spans="1:13" x14ac:dyDescent="0.25">
      <c r="A60" s="70">
        <v>1954</v>
      </c>
      <c r="B60" s="70" t="s">
        <v>229</v>
      </c>
      <c r="C60" s="70">
        <v>0</v>
      </c>
      <c r="D60" s="70" t="s">
        <v>1385</v>
      </c>
      <c r="E60" s="70">
        <v>4</v>
      </c>
      <c r="F60" s="70"/>
      <c r="G60" s="70">
        <v>-831.52</v>
      </c>
      <c r="H60" s="70">
        <v>7.82</v>
      </c>
      <c r="I60" s="70">
        <v>24.62</v>
      </c>
      <c r="J60" s="70">
        <v>0.27</v>
      </c>
      <c r="K60" s="70">
        <v>-6.33</v>
      </c>
      <c r="L60" s="70">
        <v>-3.77</v>
      </c>
      <c r="M60" s="68">
        <f t="shared" si="0"/>
        <v>831.52</v>
      </c>
    </row>
    <row r="61" spans="1:13" x14ac:dyDescent="0.25">
      <c r="A61" s="70">
        <v>2230</v>
      </c>
      <c r="B61" s="70" t="s">
        <v>229</v>
      </c>
      <c r="C61" s="70">
        <v>0</v>
      </c>
      <c r="D61" s="70" t="s">
        <v>1673</v>
      </c>
      <c r="E61" s="70">
        <v>4</v>
      </c>
      <c r="F61" s="70"/>
      <c r="G61" s="70">
        <v>-829.98</v>
      </c>
      <c r="H61" s="70">
        <v>7.8</v>
      </c>
      <c r="I61" s="70">
        <v>24.41</v>
      </c>
      <c r="J61" s="70">
        <v>0.27</v>
      </c>
      <c r="K61" s="70">
        <v>-6.34</v>
      </c>
      <c r="L61" s="70">
        <v>3.77</v>
      </c>
      <c r="M61" s="68">
        <f t="shared" si="0"/>
        <v>829.98</v>
      </c>
    </row>
    <row r="62" spans="1:13" x14ac:dyDescent="0.25">
      <c r="A62" s="70">
        <v>1747</v>
      </c>
      <c r="B62" s="70" t="s">
        <v>229</v>
      </c>
      <c r="C62" s="70">
        <v>0</v>
      </c>
      <c r="D62" s="70" t="s">
        <v>1168</v>
      </c>
      <c r="E62" s="70">
        <v>0</v>
      </c>
      <c r="F62" s="70"/>
      <c r="G62" s="70">
        <v>-866.86</v>
      </c>
      <c r="H62" s="70">
        <v>7.82</v>
      </c>
      <c r="I62" s="70">
        <v>24.11</v>
      </c>
      <c r="J62" s="70">
        <v>0.27</v>
      </c>
      <c r="K62" s="70">
        <v>22.49</v>
      </c>
      <c r="L62" s="70">
        <v>4.37</v>
      </c>
      <c r="M62" s="68">
        <f t="shared" si="0"/>
        <v>866.86</v>
      </c>
    </row>
    <row r="63" spans="1:13" x14ac:dyDescent="0.25">
      <c r="A63" s="70">
        <v>1873</v>
      </c>
      <c r="B63" s="70" t="s">
        <v>229</v>
      </c>
      <c r="C63" s="70">
        <v>0</v>
      </c>
      <c r="D63" s="70" t="s">
        <v>1293</v>
      </c>
      <c r="E63" s="70">
        <v>4</v>
      </c>
      <c r="F63" s="70"/>
      <c r="G63" s="70">
        <v>174.58</v>
      </c>
      <c r="H63" s="70">
        <v>-7.65</v>
      </c>
      <c r="I63" s="70">
        <v>24.03</v>
      </c>
      <c r="J63" s="70">
        <v>-0.6</v>
      </c>
      <c r="K63" s="70">
        <v>-8.16</v>
      </c>
      <c r="L63" s="70">
        <v>3.79</v>
      </c>
      <c r="M63" s="68">
        <f t="shared" si="0"/>
        <v>-174.58</v>
      </c>
    </row>
    <row r="64" spans="1:13" x14ac:dyDescent="0.25">
      <c r="A64" s="70">
        <v>2023</v>
      </c>
      <c r="B64" s="70" t="s">
        <v>229</v>
      </c>
      <c r="C64" s="70">
        <v>0</v>
      </c>
      <c r="D64" s="70" t="s">
        <v>1457</v>
      </c>
      <c r="E64" s="70">
        <v>4</v>
      </c>
      <c r="F64" s="70"/>
      <c r="G64" s="70">
        <v>-822.01</v>
      </c>
      <c r="H64" s="70">
        <v>7.81</v>
      </c>
      <c r="I64" s="70">
        <v>24.01</v>
      </c>
      <c r="J64" s="70">
        <v>0.27</v>
      </c>
      <c r="K64" s="70">
        <v>-5.91</v>
      </c>
      <c r="L64" s="70">
        <v>-3.77</v>
      </c>
      <c r="M64" s="68">
        <f t="shared" si="0"/>
        <v>822.01</v>
      </c>
    </row>
    <row r="65" spans="1:13" x14ac:dyDescent="0.25">
      <c r="A65" s="70">
        <v>2161</v>
      </c>
      <c r="B65" s="70" t="s">
        <v>229</v>
      </c>
      <c r="C65" s="70">
        <v>0</v>
      </c>
      <c r="D65" s="70" t="s">
        <v>1601</v>
      </c>
      <c r="E65" s="70">
        <v>4</v>
      </c>
      <c r="F65" s="70"/>
      <c r="G65" s="70">
        <v>-821.08</v>
      </c>
      <c r="H65" s="70">
        <v>7.81</v>
      </c>
      <c r="I65" s="70">
        <v>23.84</v>
      </c>
      <c r="J65" s="70">
        <v>0.27</v>
      </c>
      <c r="K65" s="70">
        <v>-5.92</v>
      </c>
      <c r="L65" s="70">
        <v>-3.77</v>
      </c>
      <c r="M65" s="68">
        <f t="shared" si="0"/>
        <v>821.08</v>
      </c>
    </row>
    <row r="66" spans="1:13" x14ac:dyDescent="0.25">
      <c r="A66" s="70">
        <v>2437</v>
      </c>
      <c r="B66" s="70" t="s">
        <v>229</v>
      </c>
      <c r="C66" s="70">
        <v>0</v>
      </c>
      <c r="D66" s="70" t="s">
        <v>1888</v>
      </c>
      <c r="E66" s="70">
        <v>0</v>
      </c>
      <c r="F66" s="70"/>
      <c r="G66" s="70">
        <v>-863.81</v>
      </c>
      <c r="H66" s="70">
        <v>7.79</v>
      </c>
      <c r="I66" s="70">
        <v>23.74</v>
      </c>
      <c r="J66" s="70">
        <v>0.27</v>
      </c>
      <c r="K66" s="70">
        <v>22.16</v>
      </c>
      <c r="L66" s="70">
        <v>4.3600000000000003</v>
      </c>
      <c r="M66" s="68">
        <f t="shared" ref="M66:M129" si="1">G66*-1</f>
        <v>863.81</v>
      </c>
    </row>
    <row r="67" spans="1:13" x14ac:dyDescent="0.25">
      <c r="A67" s="70">
        <v>2425</v>
      </c>
      <c r="B67" s="70" t="s">
        <v>229</v>
      </c>
      <c r="C67" s="70">
        <v>0</v>
      </c>
      <c r="D67" s="70" t="s">
        <v>1869</v>
      </c>
      <c r="E67" s="70">
        <v>4</v>
      </c>
      <c r="F67" s="70"/>
      <c r="G67" s="70">
        <v>175.46</v>
      </c>
      <c r="H67" s="70">
        <v>-7.64</v>
      </c>
      <c r="I67" s="70">
        <v>23.69</v>
      </c>
      <c r="J67" s="70">
        <v>-0.6</v>
      </c>
      <c r="K67" s="70">
        <v>-7.96</v>
      </c>
      <c r="L67" s="70">
        <v>3.79</v>
      </c>
      <c r="M67" s="68">
        <f t="shared" si="1"/>
        <v>-175.46</v>
      </c>
    </row>
    <row r="68" spans="1:13" x14ac:dyDescent="0.25">
      <c r="A68" s="70">
        <v>1816</v>
      </c>
      <c r="B68" s="70" t="s">
        <v>229</v>
      </c>
      <c r="C68" s="70">
        <v>0</v>
      </c>
      <c r="D68" s="70" t="s">
        <v>1240</v>
      </c>
      <c r="E68" s="70">
        <v>0</v>
      </c>
      <c r="F68" s="70"/>
      <c r="G68" s="70">
        <v>-857.35</v>
      </c>
      <c r="H68" s="70">
        <v>7.82</v>
      </c>
      <c r="I68" s="70">
        <v>23.49</v>
      </c>
      <c r="J68" s="70">
        <v>0.27</v>
      </c>
      <c r="K68" s="70">
        <v>22.18</v>
      </c>
      <c r="L68" s="70">
        <v>4.37</v>
      </c>
      <c r="M68" s="68">
        <f t="shared" si="1"/>
        <v>857.35</v>
      </c>
    </row>
    <row r="69" spans="1:13" x14ac:dyDescent="0.25">
      <c r="A69" s="70">
        <v>2092</v>
      </c>
      <c r="B69" s="70" t="s">
        <v>229</v>
      </c>
      <c r="C69" s="70">
        <v>0</v>
      </c>
      <c r="D69" s="70" t="s">
        <v>1529</v>
      </c>
      <c r="E69" s="70">
        <v>4</v>
      </c>
      <c r="F69" s="70"/>
      <c r="G69" s="70">
        <v>-812.55</v>
      </c>
      <c r="H69" s="70">
        <v>7.81</v>
      </c>
      <c r="I69" s="70">
        <v>23.39</v>
      </c>
      <c r="J69" s="70">
        <v>0.27</v>
      </c>
      <c r="K69" s="70">
        <v>-5.76</v>
      </c>
      <c r="L69" s="70">
        <v>-3.77</v>
      </c>
      <c r="M69" s="68">
        <f t="shared" si="1"/>
        <v>812.55</v>
      </c>
    </row>
    <row r="70" spans="1:13" x14ac:dyDescent="0.25">
      <c r="A70" s="70">
        <v>1874</v>
      </c>
      <c r="B70" s="70" t="s">
        <v>229</v>
      </c>
      <c r="C70" s="70">
        <v>0</v>
      </c>
      <c r="D70" s="70" t="s">
        <v>1295</v>
      </c>
      <c r="E70" s="70">
        <v>4</v>
      </c>
      <c r="F70" s="70"/>
      <c r="G70" s="70">
        <v>-56.13</v>
      </c>
      <c r="H70" s="70">
        <v>-8.1999999999999993</v>
      </c>
      <c r="I70" s="70">
        <v>23.19</v>
      </c>
      <c r="J70" s="70">
        <v>-0.56999999999999995</v>
      </c>
      <c r="K70" s="70">
        <v>-13.71</v>
      </c>
      <c r="L70" s="70">
        <v>3.91</v>
      </c>
      <c r="M70" s="68">
        <f t="shared" si="1"/>
        <v>56.13</v>
      </c>
    </row>
    <row r="71" spans="1:13" x14ac:dyDescent="0.25">
      <c r="A71" s="70">
        <v>2368</v>
      </c>
      <c r="B71" s="70" t="s">
        <v>229</v>
      </c>
      <c r="C71" s="70">
        <v>0</v>
      </c>
      <c r="D71" s="70" t="s">
        <v>1816</v>
      </c>
      <c r="E71" s="70">
        <v>0</v>
      </c>
      <c r="F71" s="70"/>
      <c r="G71" s="70">
        <v>-854.77</v>
      </c>
      <c r="H71" s="70">
        <v>7.8</v>
      </c>
      <c r="I71" s="70">
        <v>23.18</v>
      </c>
      <c r="J71" s="70">
        <v>0.27</v>
      </c>
      <c r="K71" s="70">
        <v>21.88</v>
      </c>
      <c r="L71" s="70">
        <v>4.3600000000000003</v>
      </c>
      <c r="M71" s="68">
        <f t="shared" si="1"/>
        <v>854.77</v>
      </c>
    </row>
    <row r="72" spans="1:13" x14ac:dyDescent="0.25">
      <c r="A72" s="70">
        <v>1885</v>
      </c>
      <c r="B72" s="70" t="s">
        <v>229</v>
      </c>
      <c r="C72" s="70">
        <v>0</v>
      </c>
      <c r="D72" s="70" t="s">
        <v>1312</v>
      </c>
      <c r="E72" s="70">
        <v>0</v>
      </c>
      <c r="F72" s="70"/>
      <c r="G72" s="70">
        <v>-847.83</v>
      </c>
      <c r="H72" s="70">
        <v>7.82</v>
      </c>
      <c r="I72" s="70">
        <v>22.88</v>
      </c>
      <c r="J72" s="70">
        <v>0.27</v>
      </c>
      <c r="K72" s="70">
        <v>21.88</v>
      </c>
      <c r="L72" s="70">
        <v>4.37</v>
      </c>
      <c r="M72" s="68">
        <f t="shared" si="1"/>
        <v>847.83</v>
      </c>
    </row>
    <row r="73" spans="1:13" x14ac:dyDescent="0.25">
      <c r="A73" s="70">
        <v>2426</v>
      </c>
      <c r="B73" s="70" t="s">
        <v>229</v>
      </c>
      <c r="C73" s="70">
        <v>0</v>
      </c>
      <c r="D73" s="70" t="s">
        <v>1871</v>
      </c>
      <c r="E73" s="70">
        <v>4</v>
      </c>
      <c r="F73" s="70"/>
      <c r="G73" s="70">
        <v>-57.25</v>
      </c>
      <c r="H73" s="70">
        <v>-8.17</v>
      </c>
      <c r="I73" s="70">
        <v>22.88</v>
      </c>
      <c r="J73" s="70">
        <v>-0.56999999999999995</v>
      </c>
      <c r="K73" s="70">
        <v>-13.51</v>
      </c>
      <c r="L73" s="70">
        <v>3.91</v>
      </c>
      <c r="M73" s="68">
        <f t="shared" si="1"/>
        <v>57.25</v>
      </c>
    </row>
    <row r="74" spans="1:13" x14ac:dyDescent="0.25">
      <c r="A74" s="70">
        <v>2299</v>
      </c>
      <c r="B74" s="70" t="s">
        <v>229</v>
      </c>
      <c r="C74" s="70">
        <v>0</v>
      </c>
      <c r="D74" s="70" t="s">
        <v>1744</v>
      </c>
      <c r="E74" s="70">
        <v>0</v>
      </c>
      <c r="F74" s="70"/>
      <c r="G74" s="70">
        <v>-845.73</v>
      </c>
      <c r="H74" s="70">
        <v>7.8</v>
      </c>
      <c r="I74" s="70">
        <v>22.61</v>
      </c>
      <c r="J74" s="70">
        <v>0.27</v>
      </c>
      <c r="K74" s="70">
        <v>21.6</v>
      </c>
      <c r="L74" s="70">
        <v>4.3600000000000003</v>
      </c>
      <c r="M74" s="68">
        <f t="shared" si="1"/>
        <v>845.73</v>
      </c>
    </row>
    <row r="75" spans="1:13" x14ac:dyDescent="0.25">
      <c r="A75" s="70">
        <v>1954</v>
      </c>
      <c r="B75" s="70" t="s">
        <v>229</v>
      </c>
      <c r="C75" s="70">
        <v>0</v>
      </c>
      <c r="D75" s="70" t="s">
        <v>1384</v>
      </c>
      <c r="E75" s="70">
        <v>0</v>
      </c>
      <c r="F75" s="70"/>
      <c r="G75" s="70">
        <v>-838.32</v>
      </c>
      <c r="H75" s="70">
        <v>7.82</v>
      </c>
      <c r="I75" s="70">
        <v>22.26</v>
      </c>
      <c r="J75" s="70">
        <v>0.27</v>
      </c>
      <c r="K75" s="70">
        <v>21.57</v>
      </c>
      <c r="L75" s="70">
        <v>4.37</v>
      </c>
      <c r="M75" s="68">
        <f t="shared" si="1"/>
        <v>838.32</v>
      </c>
    </row>
    <row r="76" spans="1:13" x14ac:dyDescent="0.25">
      <c r="A76" s="70">
        <v>2230</v>
      </c>
      <c r="B76" s="70" t="s">
        <v>229</v>
      </c>
      <c r="C76" s="70">
        <v>0</v>
      </c>
      <c r="D76" s="70" t="s">
        <v>1672</v>
      </c>
      <c r="E76" s="70">
        <v>0</v>
      </c>
      <c r="F76" s="70"/>
      <c r="G76" s="70">
        <v>-836.79</v>
      </c>
      <c r="H76" s="70">
        <v>7.8</v>
      </c>
      <c r="I76" s="70">
        <v>22.05</v>
      </c>
      <c r="J76" s="70">
        <v>0.27</v>
      </c>
      <c r="K76" s="70">
        <v>21.36</v>
      </c>
      <c r="L76" s="70">
        <v>4.3600000000000003</v>
      </c>
      <c r="M76" s="68">
        <f t="shared" si="1"/>
        <v>836.79</v>
      </c>
    </row>
    <row r="77" spans="1:13" x14ac:dyDescent="0.25">
      <c r="A77" s="70">
        <v>2505</v>
      </c>
      <c r="B77" s="70" t="s">
        <v>229</v>
      </c>
      <c r="C77" s="70">
        <v>0</v>
      </c>
      <c r="D77" s="70" t="s">
        <v>1959</v>
      </c>
      <c r="E77" s="70">
        <v>4</v>
      </c>
      <c r="F77" s="70"/>
      <c r="G77" s="70">
        <v>-495.08</v>
      </c>
      <c r="H77" s="70">
        <v>0.55000000000000004</v>
      </c>
      <c r="I77" s="70">
        <v>22.05</v>
      </c>
      <c r="J77" s="70">
        <v>0.1</v>
      </c>
      <c r="K77" s="70">
        <v>10.88</v>
      </c>
      <c r="L77" s="70">
        <v>-0.25</v>
      </c>
      <c r="M77" s="68">
        <f t="shared" si="1"/>
        <v>495.08</v>
      </c>
    </row>
    <row r="78" spans="1:13" x14ac:dyDescent="0.25">
      <c r="A78" s="70">
        <v>1806</v>
      </c>
      <c r="B78" s="70" t="s">
        <v>229</v>
      </c>
      <c r="C78" s="70">
        <v>0</v>
      </c>
      <c r="D78" s="70" t="s">
        <v>1225</v>
      </c>
      <c r="E78" s="70">
        <v>4</v>
      </c>
      <c r="F78" s="70"/>
      <c r="G78" s="70">
        <v>-262.67</v>
      </c>
      <c r="H78" s="70">
        <v>-8.92</v>
      </c>
      <c r="I78" s="70">
        <v>22</v>
      </c>
      <c r="J78" s="70">
        <v>-0.51</v>
      </c>
      <c r="K78" s="70">
        <v>-17.940000000000001</v>
      </c>
      <c r="L78" s="70">
        <v>4.16</v>
      </c>
      <c r="M78" s="68">
        <f t="shared" si="1"/>
        <v>262.67</v>
      </c>
    </row>
    <row r="79" spans="1:13" x14ac:dyDescent="0.25">
      <c r="A79" s="70">
        <v>1</v>
      </c>
      <c r="B79" s="70" t="s">
        <v>229</v>
      </c>
      <c r="C79" s="70">
        <v>0</v>
      </c>
      <c r="D79" s="70" t="s">
        <v>1095</v>
      </c>
      <c r="E79" s="70">
        <v>4</v>
      </c>
      <c r="F79" s="70"/>
      <c r="G79" s="70">
        <v>-496.92</v>
      </c>
      <c r="H79" s="70">
        <v>0.55000000000000004</v>
      </c>
      <c r="I79" s="70">
        <v>21.98</v>
      </c>
      <c r="J79" s="70">
        <v>0.1</v>
      </c>
      <c r="K79" s="70">
        <v>10.68</v>
      </c>
      <c r="L79" s="70">
        <v>-0.26</v>
      </c>
      <c r="M79" s="68">
        <f t="shared" si="1"/>
        <v>496.92</v>
      </c>
    </row>
    <row r="80" spans="1:13" x14ac:dyDescent="0.25">
      <c r="A80" s="70">
        <v>2496</v>
      </c>
      <c r="B80" s="70" t="s">
        <v>229</v>
      </c>
      <c r="C80" s="70">
        <v>0</v>
      </c>
      <c r="D80" s="70" t="s">
        <v>1945</v>
      </c>
      <c r="E80" s="70">
        <v>4</v>
      </c>
      <c r="F80" s="70"/>
      <c r="G80" s="70">
        <v>-264.23</v>
      </c>
      <c r="H80" s="70">
        <v>-8.8800000000000008</v>
      </c>
      <c r="I80" s="70">
        <v>21.76</v>
      </c>
      <c r="J80" s="70">
        <v>-0.51</v>
      </c>
      <c r="K80" s="70">
        <v>-18</v>
      </c>
      <c r="L80" s="70">
        <v>4.1500000000000004</v>
      </c>
      <c r="M80" s="68">
        <f t="shared" si="1"/>
        <v>264.23</v>
      </c>
    </row>
    <row r="81" spans="1:13" x14ac:dyDescent="0.25">
      <c r="A81" s="70">
        <v>2023</v>
      </c>
      <c r="B81" s="70" t="s">
        <v>229</v>
      </c>
      <c r="C81" s="70">
        <v>0</v>
      </c>
      <c r="D81" s="70" t="s">
        <v>1456</v>
      </c>
      <c r="E81" s="70">
        <v>0</v>
      </c>
      <c r="F81" s="70"/>
      <c r="G81" s="70">
        <v>-828.82</v>
      </c>
      <c r="H81" s="70">
        <v>7.81</v>
      </c>
      <c r="I81" s="70">
        <v>21.64</v>
      </c>
      <c r="J81" s="70">
        <v>0.27</v>
      </c>
      <c r="K81" s="70">
        <v>21.27</v>
      </c>
      <c r="L81" s="70">
        <v>4.3600000000000003</v>
      </c>
      <c r="M81" s="68">
        <f t="shared" si="1"/>
        <v>828.82</v>
      </c>
    </row>
    <row r="82" spans="1:13" x14ac:dyDescent="0.25">
      <c r="A82" s="70">
        <v>2161</v>
      </c>
      <c r="B82" s="70" t="s">
        <v>229</v>
      </c>
      <c r="C82" s="70">
        <v>0</v>
      </c>
      <c r="D82" s="70" t="s">
        <v>1600</v>
      </c>
      <c r="E82" s="70">
        <v>0</v>
      </c>
      <c r="F82" s="70"/>
      <c r="G82" s="70">
        <v>-827.89</v>
      </c>
      <c r="H82" s="70">
        <v>7.81</v>
      </c>
      <c r="I82" s="70">
        <v>21.48</v>
      </c>
      <c r="J82" s="70">
        <v>0.27</v>
      </c>
      <c r="K82" s="70">
        <v>21.13</v>
      </c>
      <c r="L82" s="70">
        <v>4.3600000000000003</v>
      </c>
      <c r="M82" s="68">
        <f t="shared" si="1"/>
        <v>827.89</v>
      </c>
    </row>
    <row r="83" spans="1:13" x14ac:dyDescent="0.25">
      <c r="A83" s="70">
        <v>2505</v>
      </c>
      <c r="B83" s="70" t="s">
        <v>229</v>
      </c>
      <c r="C83" s="70">
        <v>0</v>
      </c>
      <c r="D83" s="70" t="s">
        <v>1958</v>
      </c>
      <c r="E83" s="70">
        <v>0</v>
      </c>
      <c r="F83" s="70"/>
      <c r="G83" s="70">
        <v>-498.63</v>
      </c>
      <c r="H83" s="70">
        <v>0.55000000000000004</v>
      </c>
      <c r="I83" s="70">
        <v>21.45</v>
      </c>
      <c r="J83" s="70">
        <v>0.1</v>
      </c>
      <c r="K83" s="70">
        <v>24.5</v>
      </c>
      <c r="L83" s="70">
        <v>0.38</v>
      </c>
      <c r="M83" s="68">
        <f t="shared" si="1"/>
        <v>498.63</v>
      </c>
    </row>
    <row r="84" spans="1:13" x14ac:dyDescent="0.25">
      <c r="A84" s="69">
        <v>1</v>
      </c>
      <c r="B84" s="69" t="s">
        <v>229</v>
      </c>
      <c r="C84" s="69">
        <v>0</v>
      </c>
      <c r="D84" s="69" t="s">
        <v>1094</v>
      </c>
      <c r="E84" s="69">
        <v>0</v>
      </c>
      <c r="F84" s="69"/>
      <c r="G84" s="69">
        <v>-500.47</v>
      </c>
      <c r="H84" s="69">
        <v>0.55000000000000004</v>
      </c>
      <c r="I84" s="69">
        <v>21.37</v>
      </c>
      <c r="J84" s="69">
        <v>0.1</v>
      </c>
      <c r="K84" s="69">
        <v>24.46</v>
      </c>
      <c r="L84" s="69">
        <v>0.38</v>
      </c>
      <c r="M84" s="68">
        <f t="shared" si="1"/>
        <v>500.47</v>
      </c>
    </row>
    <row r="85" spans="1:13" x14ac:dyDescent="0.25">
      <c r="A85" s="70">
        <v>2092</v>
      </c>
      <c r="B85" s="70" t="s">
        <v>229</v>
      </c>
      <c r="C85" s="70">
        <v>0</v>
      </c>
      <c r="D85" s="70" t="s">
        <v>1528</v>
      </c>
      <c r="E85" s="70">
        <v>0</v>
      </c>
      <c r="F85" s="70"/>
      <c r="G85" s="70">
        <v>-819.35</v>
      </c>
      <c r="H85" s="70">
        <v>7.81</v>
      </c>
      <c r="I85" s="70">
        <v>21.03</v>
      </c>
      <c r="J85" s="70">
        <v>0.27</v>
      </c>
      <c r="K85" s="70">
        <v>20.96</v>
      </c>
      <c r="L85" s="70">
        <v>4.3600000000000003</v>
      </c>
      <c r="M85" s="68">
        <f t="shared" si="1"/>
        <v>819.35</v>
      </c>
    </row>
    <row r="86" spans="1:13" x14ac:dyDescent="0.25">
      <c r="A86" s="70">
        <v>1803</v>
      </c>
      <c r="B86" s="70" t="s">
        <v>229</v>
      </c>
      <c r="C86" s="70">
        <v>0</v>
      </c>
      <c r="D86" s="70" t="s">
        <v>1219</v>
      </c>
      <c r="E86" s="70">
        <v>4</v>
      </c>
      <c r="F86" s="70"/>
      <c r="G86" s="70">
        <v>330.76</v>
      </c>
      <c r="H86" s="70">
        <v>-7.37</v>
      </c>
      <c r="I86" s="70">
        <v>20.73</v>
      </c>
      <c r="J86" s="70">
        <v>-0.56000000000000005</v>
      </c>
      <c r="K86" s="70">
        <v>13.5</v>
      </c>
      <c r="L86" s="70">
        <v>3.81</v>
      </c>
      <c r="M86" s="68">
        <f t="shared" si="1"/>
        <v>-330.76</v>
      </c>
    </row>
    <row r="87" spans="1:13" x14ac:dyDescent="0.25">
      <c r="A87" s="70">
        <v>1942</v>
      </c>
      <c r="B87" s="70" t="s">
        <v>229</v>
      </c>
      <c r="C87" s="70">
        <v>0</v>
      </c>
      <c r="D87" s="70" t="s">
        <v>1365</v>
      </c>
      <c r="E87" s="70">
        <v>4</v>
      </c>
      <c r="F87" s="70"/>
      <c r="G87" s="70">
        <v>174.21</v>
      </c>
      <c r="H87" s="70">
        <v>-7.65</v>
      </c>
      <c r="I87" s="70">
        <v>20.65</v>
      </c>
      <c r="J87" s="70">
        <v>-0.6</v>
      </c>
      <c r="K87" s="70">
        <v>-6.49</v>
      </c>
      <c r="L87" s="70">
        <v>3.79</v>
      </c>
      <c r="M87" s="68">
        <f t="shared" si="1"/>
        <v>-174.21</v>
      </c>
    </row>
    <row r="88" spans="1:13" x14ac:dyDescent="0.25">
      <c r="A88" s="70">
        <v>2356</v>
      </c>
      <c r="B88" s="70" t="s">
        <v>229</v>
      </c>
      <c r="C88" s="70">
        <v>0</v>
      </c>
      <c r="D88" s="70" t="s">
        <v>1797</v>
      </c>
      <c r="E88" s="70">
        <v>4</v>
      </c>
      <c r="F88" s="70"/>
      <c r="G88" s="70">
        <v>174.89</v>
      </c>
      <c r="H88" s="70">
        <v>-7.64</v>
      </c>
      <c r="I88" s="70">
        <v>20.39</v>
      </c>
      <c r="J88" s="70">
        <v>-0.6</v>
      </c>
      <c r="K88" s="70">
        <v>-6.33</v>
      </c>
      <c r="L88" s="70">
        <v>3.79</v>
      </c>
      <c r="M88" s="68">
        <f t="shared" si="1"/>
        <v>-174.89</v>
      </c>
    </row>
    <row r="89" spans="1:13" x14ac:dyDescent="0.25">
      <c r="A89" s="70">
        <v>1804</v>
      </c>
      <c r="B89" s="70" t="s">
        <v>229</v>
      </c>
      <c r="C89" s="70">
        <v>0</v>
      </c>
      <c r="D89" s="70" t="s">
        <v>1220</v>
      </c>
      <c r="E89" s="70">
        <v>0</v>
      </c>
      <c r="F89" s="70"/>
      <c r="G89" s="70">
        <v>175.55</v>
      </c>
      <c r="H89" s="70">
        <v>-7.65</v>
      </c>
      <c r="I89" s="70">
        <v>20.36</v>
      </c>
      <c r="J89" s="70">
        <v>-0.6</v>
      </c>
      <c r="K89" s="70">
        <v>14.4</v>
      </c>
      <c r="L89" s="70">
        <v>-3.82</v>
      </c>
      <c r="M89" s="68">
        <f t="shared" si="1"/>
        <v>-175.55</v>
      </c>
    </row>
    <row r="90" spans="1:13" x14ac:dyDescent="0.25">
      <c r="A90" s="70">
        <v>2493</v>
      </c>
      <c r="B90" s="70" t="s">
        <v>229</v>
      </c>
      <c r="C90" s="70">
        <v>0</v>
      </c>
      <c r="D90" s="70" t="s">
        <v>1939</v>
      </c>
      <c r="E90" s="70">
        <v>4</v>
      </c>
      <c r="F90" s="70"/>
      <c r="G90" s="70">
        <v>331.99</v>
      </c>
      <c r="H90" s="70">
        <v>-7.37</v>
      </c>
      <c r="I90" s="70">
        <v>20.28</v>
      </c>
      <c r="J90" s="70">
        <v>-0.56000000000000005</v>
      </c>
      <c r="K90" s="70">
        <v>13.69</v>
      </c>
      <c r="L90" s="70">
        <v>3.81</v>
      </c>
      <c r="M90" s="68">
        <f t="shared" si="1"/>
        <v>-331.99</v>
      </c>
    </row>
    <row r="91" spans="1:13" x14ac:dyDescent="0.25">
      <c r="A91" s="70">
        <v>2494</v>
      </c>
      <c r="B91" s="70" t="s">
        <v>229</v>
      </c>
      <c r="C91" s="70">
        <v>0</v>
      </c>
      <c r="D91" s="70" t="s">
        <v>1940</v>
      </c>
      <c r="E91" s="70">
        <v>0</v>
      </c>
      <c r="F91" s="70"/>
      <c r="G91" s="70">
        <v>176.62</v>
      </c>
      <c r="H91" s="70">
        <v>-7.64</v>
      </c>
      <c r="I91" s="70">
        <v>19.93</v>
      </c>
      <c r="J91" s="70">
        <v>-0.6</v>
      </c>
      <c r="K91" s="70">
        <v>14.22</v>
      </c>
      <c r="L91" s="70">
        <v>-3.81</v>
      </c>
      <c r="M91" s="68">
        <f t="shared" si="1"/>
        <v>-176.62</v>
      </c>
    </row>
    <row r="92" spans="1:13" x14ac:dyDescent="0.25">
      <c r="A92" s="70">
        <v>1943</v>
      </c>
      <c r="B92" s="70" t="s">
        <v>229</v>
      </c>
      <c r="C92" s="70">
        <v>0</v>
      </c>
      <c r="D92" s="70" t="s">
        <v>1367</v>
      </c>
      <c r="E92" s="70">
        <v>4</v>
      </c>
      <c r="F92" s="70"/>
      <c r="G92" s="70">
        <v>-53.65</v>
      </c>
      <c r="H92" s="70">
        <v>-8.19</v>
      </c>
      <c r="I92" s="70">
        <v>19.79</v>
      </c>
      <c r="J92" s="70">
        <v>-0.56999999999999995</v>
      </c>
      <c r="K92" s="70">
        <v>-12.15</v>
      </c>
      <c r="L92" s="70">
        <v>3.91</v>
      </c>
      <c r="M92" s="68">
        <f t="shared" si="1"/>
        <v>53.65</v>
      </c>
    </row>
    <row r="93" spans="1:13" x14ac:dyDescent="0.25">
      <c r="A93" s="70">
        <v>1805</v>
      </c>
      <c r="B93" s="70" t="s">
        <v>229</v>
      </c>
      <c r="C93" s="70">
        <v>0</v>
      </c>
      <c r="D93" s="70" t="s">
        <v>1222</v>
      </c>
      <c r="E93" s="70">
        <v>0</v>
      </c>
      <c r="F93" s="70"/>
      <c r="G93" s="70">
        <v>-56.84</v>
      </c>
      <c r="H93" s="70">
        <v>-8.1999999999999993</v>
      </c>
      <c r="I93" s="70">
        <v>19.600000000000001</v>
      </c>
      <c r="J93" s="70">
        <v>-0.56999999999999995</v>
      </c>
      <c r="K93" s="70">
        <v>-9.17</v>
      </c>
      <c r="L93" s="70">
        <v>-4.22</v>
      </c>
      <c r="M93" s="68">
        <f t="shared" si="1"/>
        <v>56.84</v>
      </c>
    </row>
    <row r="94" spans="1:13" x14ac:dyDescent="0.25">
      <c r="A94" s="70">
        <v>2357</v>
      </c>
      <c r="B94" s="70" t="s">
        <v>229</v>
      </c>
      <c r="C94" s="70">
        <v>0</v>
      </c>
      <c r="D94" s="70" t="s">
        <v>1799</v>
      </c>
      <c r="E94" s="70">
        <v>4</v>
      </c>
      <c r="F94" s="70"/>
      <c r="G94" s="70">
        <v>-54.57</v>
      </c>
      <c r="H94" s="70">
        <v>-8.17</v>
      </c>
      <c r="I94" s="70">
        <v>19.559999999999999</v>
      </c>
      <c r="J94" s="70">
        <v>-0.56999999999999995</v>
      </c>
      <c r="K94" s="70">
        <v>-12.17</v>
      </c>
      <c r="L94" s="70">
        <v>3.91</v>
      </c>
      <c r="M94" s="68">
        <f t="shared" si="1"/>
        <v>54.57</v>
      </c>
    </row>
    <row r="95" spans="1:13" x14ac:dyDescent="0.25">
      <c r="A95" s="70">
        <v>1756</v>
      </c>
      <c r="B95" s="70" t="s">
        <v>229</v>
      </c>
      <c r="C95" s="70">
        <v>0</v>
      </c>
      <c r="D95" s="70" t="s">
        <v>1187</v>
      </c>
      <c r="E95" s="70">
        <v>4</v>
      </c>
      <c r="F95" s="70"/>
      <c r="G95" s="70">
        <v>402.3</v>
      </c>
      <c r="H95" s="70">
        <v>-7.39</v>
      </c>
      <c r="I95" s="70">
        <v>19.46</v>
      </c>
      <c r="J95" s="70">
        <v>-0.49</v>
      </c>
      <c r="K95" s="70">
        <v>12.52</v>
      </c>
      <c r="L95" s="70">
        <v>3.41</v>
      </c>
      <c r="M95" s="68">
        <f t="shared" si="1"/>
        <v>-402.3</v>
      </c>
    </row>
    <row r="96" spans="1:13" x14ac:dyDescent="0.25">
      <c r="A96" s="70">
        <v>2495</v>
      </c>
      <c r="B96" s="70" t="s">
        <v>229</v>
      </c>
      <c r="C96" s="70">
        <v>0</v>
      </c>
      <c r="D96" s="70" t="s">
        <v>1942</v>
      </c>
      <c r="E96" s="70">
        <v>0</v>
      </c>
      <c r="F96" s="70"/>
      <c r="G96" s="70">
        <v>-58.6</v>
      </c>
      <c r="H96" s="70">
        <v>-8.17</v>
      </c>
      <c r="I96" s="70">
        <v>19.22</v>
      </c>
      <c r="J96" s="70">
        <v>-0.56999999999999995</v>
      </c>
      <c r="K96" s="70">
        <v>-9.3699999999999992</v>
      </c>
      <c r="L96" s="70">
        <v>-4.2</v>
      </c>
      <c r="M96" s="68">
        <f t="shared" si="1"/>
        <v>58.6</v>
      </c>
    </row>
    <row r="97" spans="1:13" x14ac:dyDescent="0.25">
      <c r="A97" s="70">
        <v>2446</v>
      </c>
      <c r="B97" s="70" t="s">
        <v>229</v>
      </c>
      <c r="C97" s="70">
        <v>0</v>
      </c>
      <c r="D97" s="70" t="s">
        <v>1907</v>
      </c>
      <c r="E97" s="70">
        <v>4</v>
      </c>
      <c r="F97" s="70"/>
      <c r="G97" s="70">
        <v>401.22</v>
      </c>
      <c r="H97" s="70">
        <v>-7.35</v>
      </c>
      <c r="I97" s="70">
        <v>19.079999999999998</v>
      </c>
      <c r="J97" s="70">
        <v>-0.49</v>
      </c>
      <c r="K97" s="70">
        <v>12.67</v>
      </c>
      <c r="L97" s="70">
        <v>3.4</v>
      </c>
      <c r="M97" s="68">
        <f t="shared" si="1"/>
        <v>-401.22</v>
      </c>
    </row>
    <row r="98" spans="1:13" x14ac:dyDescent="0.25">
      <c r="A98" s="70">
        <v>1875</v>
      </c>
      <c r="B98" s="70" t="s">
        <v>229</v>
      </c>
      <c r="C98" s="70">
        <v>0</v>
      </c>
      <c r="D98" s="70" t="s">
        <v>1297</v>
      </c>
      <c r="E98" s="70">
        <v>4</v>
      </c>
      <c r="F98" s="70"/>
      <c r="G98" s="70">
        <v>-257.43</v>
      </c>
      <c r="H98" s="70">
        <v>-8.92</v>
      </c>
      <c r="I98" s="70">
        <v>18.97</v>
      </c>
      <c r="J98" s="70">
        <v>-0.51</v>
      </c>
      <c r="K98" s="70">
        <v>-16.64</v>
      </c>
      <c r="L98" s="70">
        <v>4.16</v>
      </c>
      <c r="M98" s="68">
        <f t="shared" si="1"/>
        <v>257.43</v>
      </c>
    </row>
    <row r="99" spans="1:13" x14ac:dyDescent="0.25">
      <c r="A99" s="70">
        <v>1757</v>
      </c>
      <c r="B99" s="70" t="s">
        <v>229</v>
      </c>
      <c r="C99" s="70">
        <v>0</v>
      </c>
      <c r="D99" s="70" t="s">
        <v>1189</v>
      </c>
      <c r="E99" s="70">
        <v>4</v>
      </c>
      <c r="F99" s="70"/>
      <c r="G99" s="70">
        <v>418.11</v>
      </c>
      <c r="H99" s="70">
        <v>-7.4</v>
      </c>
      <c r="I99" s="70">
        <v>18.829999999999998</v>
      </c>
      <c r="J99" s="70">
        <v>-0.41</v>
      </c>
      <c r="K99" s="70">
        <v>8.32</v>
      </c>
      <c r="L99" s="70">
        <v>3.32</v>
      </c>
      <c r="M99" s="68">
        <f t="shared" si="1"/>
        <v>-418.11</v>
      </c>
    </row>
    <row r="100" spans="1:13" x14ac:dyDescent="0.25">
      <c r="A100" s="70">
        <v>2427</v>
      </c>
      <c r="B100" s="70" t="s">
        <v>229</v>
      </c>
      <c r="C100" s="70">
        <v>0</v>
      </c>
      <c r="D100" s="70" t="s">
        <v>1873</v>
      </c>
      <c r="E100" s="70">
        <v>4</v>
      </c>
      <c r="F100" s="70"/>
      <c r="G100" s="70">
        <v>-258.97000000000003</v>
      </c>
      <c r="H100" s="70">
        <v>-8.8800000000000008</v>
      </c>
      <c r="I100" s="70">
        <v>18.77</v>
      </c>
      <c r="J100" s="70">
        <v>-0.51</v>
      </c>
      <c r="K100" s="70">
        <v>-16.7</v>
      </c>
      <c r="L100" s="70">
        <v>4.1500000000000004</v>
      </c>
      <c r="M100" s="68">
        <f t="shared" si="1"/>
        <v>258.97000000000003</v>
      </c>
    </row>
    <row r="101" spans="1:13" x14ac:dyDescent="0.25">
      <c r="A101" s="70">
        <v>2447</v>
      </c>
      <c r="B101" s="70" t="s">
        <v>229</v>
      </c>
      <c r="C101" s="70">
        <v>0</v>
      </c>
      <c r="D101" s="70" t="s">
        <v>1909</v>
      </c>
      <c r="E101" s="70">
        <v>4</v>
      </c>
      <c r="F101" s="70"/>
      <c r="G101" s="70">
        <v>417.24</v>
      </c>
      <c r="H101" s="70">
        <v>-7.35</v>
      </c>
      <c r="I101" s="70">
        <v>18.54</v>
      </c>
      <c r="J101" s="70">
        <v>-0.41</v>
      </c>
      <c r="K101" s="70">
        <v>8.44</v>
      </c>
      <c r="L101" s="70">
        <v>3.3</v>
      </c>
      <c r="M101" s="68">
        <f t="shared" si="1"/>
        <v>-417.24</v>
      </c>
    </row>
    <row r="102" spans="1:13" x14ac:dyDescent="0.25">
      <c r="A102" s="70">
        <v>1755</v>
      </c>
      <c r="B102" s="70" t="s">
        <v>229</v>
      </c>
      <c r="C102" s="70">
        <v>0</v>
      </c>
      <c r="D102" s="70" t="s">
        <v>1185</v>
      </c>
      <c r="E102" s="70">
        <v>4</v>
      </c>
      <c r="F102" s="70"/>
      <c r="G102" s="70">
        <v>325.52999999999997</v>
      </c>
      <c r="H102" s="70">
        <v>-7.38</v>
      </c>
      <c r="I102" s="70">
        <v>18.07</v>
      </c>
      <c r="J102" s="70">
        <v>-0.55000000000000004</v>
      </c>
      <c r="K102" s="70">
        <v>14.82</v>
      </c>
      <c r="L102" s="70">
        <v>3.56</v>
      </c>
      <c r="M102" s="68">
        <f t="shared" si="1"/>
        <v>-325.52999999999997</v>
      </c>
    </row>
    <row r="103" spans="1:13" x14ac:dyDescent="0.25">
      <c r="A103" s="70">
        <v>2445</v>
      </c>
      <c r="B103" s="70" t="s">
        <v>229</v>
      </c>
      <c r="C103" s="70">
        <v>0</v>
      </c>
      <c r="D103" s="70" t="s">
        <v>1905</v>
      </c>
      <c r="E103" s="70">
        <v>4</v>
      </c>
      <c r="F103" s="70"/>
      <c r="G103" s="70">
        <v>324.26</v>
      </c>
      <c r="H103" s="70">
        <v>-7.37</v>
      </c>
      <c r="I103" s="70">
        <v>17.64</v>
      </c>
      <c r="J103" s="70">
        <v>-0.55000000000000004</v>
      </c>
      <c r="K103" s="70">
        <v>15.01</v>
      </c>
      <c r="L103" s="70">
        <v>3.56</v>
      </c>
      <c r="M103" s="68">
        <f t="shared" si="1"/>
        <v>-324.26</v>
      </c>
    </row>
    <row r="104" spans="1:13" x14ac:dyDescent="0.25">
      <c r="A104" s="70">
        <v>1802</v>
      </c>
      <c r="B104" s="70" t="s">
        <v>229</v>
      </c>
      <c r="C104" s="70">
        <v>0</v>
      </c>
      <c r="D104" s="70" t="s">
        <v>1217</v>
      </c>
      <c r="E104" s="70">
        <v>4</v>
      </c>
      <c r="F104" s="70"/>
      <c r="G104" s="70">
        <v>411.87</v>
      </c>
      <c r="H104" s="70">
        <v>-7.34</v>
      </c>
      <c r="I104" s="70">
        <v>17.510000000000002</v>
      </c>
      <c r="J104" s="70">
        <v>-0.5</v>
      </c>
      <c r="K104" s="70">
        <v>13.3</v>
      </c>
      <c r="L104" s="70">
        <v>3.9</v>
      </c>
      <c r="M104" s="68">
        <f t="shared" si="1"/>
        <v>-411.87</v>
      </c>
    </row>
    <row r="105" spans="1:13" x14ac:dyDescent="0.25">
      <c r="A105" s="70">
        <v>1872</v>
      </c>
      <c r="B105" s="70" t="s">
        <v>229</v>
      </c>
      <c r="C105" s="70">
        <v>0</v>
      </c>
      <c r="D105" s="70" t="s">
        <v>1291</v>
      </c>
      <c r="E105" s="70">
        <v>4</v>
      </c>
      <c r="F105" s="70"/>
      <c r="G105" s="70">
        <v>329.91</v>
      </c>
      <c r="H105" s="70">
        <v>-7.37</v>
      </c>
      <c r="I105" s="70">
        <v>17.420000000000002</v>
      </c>
      <c r="J105" s="70">
        <v>-0.56000000000000005</v>
      </c>
      <c r="K105" s="70">
        <v>11.91</v>
      </c>
      <c r="L105" s="70">
        <v>3.81</v>
      </c>
      <c r="M105" s="68">
        <f t="shared" si="1"/>
        <v>-329.91</v>
      </c>
    </row>
    <row r="106" spans="1:13" x14ac:dyDescent="0.25">
      <c r="A106" s="70">
        <v>2011</v>
      </c>
      <c r="B106" s="70" t="s">
        <v>229</v>
      </c>
      <c r="C106" s="70">
        <v>0</v>
      </c>
      <c r="D106" s="70" t="s">
        <v>1437</v>
      </c>
      <c r="E106" s="70">
        <v>4</v>
      </c>
      <c r="F106" s="70"/>
      <c r="G106" s="70">
        <v>173.83</v>
      </c>
      <c r="H106" s="70">
        <v>-7.65</v>
      </c>
      <c r="I106" s="70">
        <v>17.27</v>
      </c>
      <c r="J106" s="70">
        <v>-0.6</v>
      </c>
      <c r="K106" s="70">
        <v>-4.8899999999999997</v>
      </c>
      <c r="L106" s="70">
        <v>3.79</v>
      </c>
      <c r="M106" s="68">
        <f t="shared" si="1"/>
        <v>-173.83</v>
      </c>
    </row>
    <row r="107" spans="1:13" x14ac:dyDescent="0.25">
      <c r="A107" s="70">
        <v>2492</v>
      </c>
      <c r="B107" s="70" t="s">
        <v>229</v>
      </c>
      <c r="C107" s="70">
        <v>0</v>
      </c>
      <c r="D107" s="70" t="s">
        <v>1937</v>
      </c>
      <c r="E107" s="70">
        <v>4</v>
      </c>
      <c r="F107" s="70"/>
      <c r="G107" s="70">
        <v>412.89</v>
      </c>
      <c r="H107" s="70">
        <v>-7.37</v>
      </c>
      <c r="I107" s="70">
        <v>17.14</v>
      </c>
      <c r="J107" s="70">
        <v>-0.5</v>
      </c>
      <c r="K107" s="70">
        <v>13.45</v>
      </c>
      <c r="L107" s="70">
        <v>3.92</v>
      </c>
      <c r="M107" s="68">
        <f t="shared" si="1"/>
        <v>-412.89</v>
      </c>
    </row>
    <row r="108" spans="1:13" x14ac:dyDescent="0.25">
      <c r="A108" s="70">
        <v>2287</v>
      </c>
      <c r="B108" s="70" t="s">
        <v>229</v>
      </c>
      <c r="C108" s="70">
        <v>0</v>
      </c>
      <c r="D108" s="70" t="s">
        <v>1725</v>
      </c>
      <c r="E108" s="70">
        <v>4</v>
      </c>
      <c r="F108" s="70"/>
      <c r="G108" s="70">
        <v>174.32</v>
      </c>
      <c r="H108" s="70">
        <v>-7.64</v>
      </c>
      <c r="I108" s="70">
        <v>17.09</v>
      </c>
      <c r="J108" s="70">
        <v>-0.6</v>
      </c>
      <c r="K108" s="70">
        <v>-4.7699999999999996</v>
      </c>
      <c r="L108" s="70">
        <v>3.79</v>
      </c>
      <c r="M108" s="68">
        <f t="shared" si="1"/>
        <v>-174.32</v>
      </c>
    </row>
    <row r="109" spans="1:13" x14ac:dyDescent="0.25">
      <c r="A109" s="70">
        <v>2424</v>
      </c>
      <c r="B109" s="70" t="s">
        <v>229</v>
      </c>
      <c r="C109" s="70">
        <v>0</v>
      </c>
      <c r="D109" s="70" t="s">
        <v>1867</v>
      </c>
      <c r="E109" s="70">
        <v>4</v>
      </c>
      <c r="F109" s="70"/>
      <c r="G109" s="70">
        <v>331.02</v>
      </c>
      <c r="H109" s="70">
        <v>-7.37</v>
      </c>
      <c r="I109" s="70">
        <v>17.07</v>
      </c>
      <c r="J109" s="70">
        <v>-0.56000000000000005</v>
      </c>
      <c r="K109" s="70">
        <v>12.05</v>
      </c>
      <c r="L109" s="70">
        <v>3.81</v>
      </c>
      <c r="M109" s="68">
        <f t="shared" si="1"/>
        <v>-331.02</v>
      </c>
    </row>
    <row r="110" spans="1:13" x14ac:dyDescent="0.25">
      <c r="A110" s="70">
        <v>1873</v>
      </c>
      <c r="B110" s="70" t="s">
        <v>229</v>
      </c>
      <c r="C110" s="70">
        <v>0</v>
      </c>
      <c r="D110" s="70" t="s">
        <v>1292</v>
      </c>
      <c r="E110" s="70">
        <v>0</v>
      </c>
      <c r="F110" s="70"/>
      <c r="G110" s="70">
        <v>175.18</v>
      </c>
      <c r="H110" s="70">
        <v>-7.65</v>
      </c>
      <c r="I110" s="70">
        <v>16.850000000000001</v>
      </c>
      <c r="J110" s="70">
        <v>-0.6</v>
      </c>
      <c r="K110" s="70">
        <v>12.65</v>
      </c>
      <c r="L110" s="70">
        <v>-3.82</v>
      </c>
      <c r="M110" s="68">
        <f t="shared" si="1"/>
        <v>-175.18</v>
      </c>
    </row>
    <row r="111" spans="1:13" x14ac:dyDescent="0.25">
      <c r="A111" s="70">
        <v>1825</v>
      </c>
      <c r="B111" s="70" t="s">
        <v>229</v>
      </c>
      <c r="C111" s="70">
        <v>0</v>
      </c>
      <c r="D111" s="70" t="s">
        <v>1259</v>
      </c>
      <c r="E111" s="70">
        <v>4</v>
      </c>
      <c r="F111" s="70"/>
      <c r="G111" s="70">
        <v>400.98</v>
      </c>
      <c r="H111" s="70">
        <v>-7.39</v>
      </c>
      <c r="I111" s="70">
        <v>16.59</v>
      </c>
      <c r="J111" s="70">
        <v>-0.49</v>
      </c>
      <c r="K111" s="70">
        <v>11.18</v>
      </c>
      <c r="L111" s="70">
        <v>3.41</v>
      </c>
      <c r="M111" s="68">
        <f t="shared" si="1"/>
        <v>-400.98</v>
      </c>
    </row>
    <row r="112" spans="1:13" x14ac:dyDescent="0.25">
      <c r="A112" s="70">
        <v>2425</v>
      </c>
      <c r="B112" s="70" t="s">
        <v>229</v>
      </c>
      <c r="C112" s="70">
        <v>0</v>
      </c>
      <c r="D112" s="70" t="s">
        <v>1868</v>
      </c>
      <c r="E112" s="70">
        <v>0</v>
      </c>
      <c r="F112" s="70"/>
      <c r="G112" s="70">
        <v>176.06</v>
      </c>
      <c r="H112" s="70">
        <v>-7.64</v>
      </c>
      <c r="I112" s="70">
        <v>16.510000000000002</v>
      </c>
      <c r="J112" s="70">
        <v>-0.6</v>
      </c>
      <c r="K112" s="70">
        <v>12.51</v>
      </c>
      <c r="L112" s="70">
        <v>-3.81</v>
      </c>
      <c r="M112" s="68">
        <f t="shared" si="1"/>
        <v>-176.06</v>
      </c>
    </row>
    <row r="113" spans="1:13" x14ac:dyDescent="0.25">
      <c r="A113" s="70">
        <v>2012</v>
      </c>
      <c r="B113" s="70" t="s">
        <v>229</v>
      </c>
      <c r="C113" s="70">
        <v>0</v>
      </c>
      <c r="D113" s="70" t="s">
        <v>1439</v>
      </c>
      <c r="E113" s="70">
        <v>4</v>
      </c>
      <c r="F113" s="70"/>
      <c r="G113" s="70">
        <v>-51.2</v>
      </c>
      <c r="H113" s="70">
        <v>-8.19</v>
      </c>
      <c r="I113" s="70">
        <v>16.399999999999999</v>
      </c>
      <c r="J113" s="70">
        <v>-0.56999999999999995</v>
      </c>
      <c r="K113" s="70">
        <v>-10.8</v>
      </c>
      <c r="L113" s="70">
        <v>3.91</v>
      </c>
      <c r="M113" s="68">
        <f t="shared" si="1"/>
        <v>51.2</v>
      </c>
    </row>
    <row r="114" spans="1:13" x14ac:dyDescent="0.25">
      <c r="A114" s="70">
        <v>1826</v>
      </c>
      <c r="B114" s="70" t="s">
        <v>229</v>
      </c>
      <c r="C114" s="70">
        <v>0</v>
      </c>
      <c r="D114" s="70" t="s">
        <v>1261</v>
      </c>
      <c r="E114" s="70">
        <v>4</v>
      </c>
      <c r="F114" s="70"/>
      <c r="G114" s="70">
        <v>416.5</v>
      </c>
      <c r="H114" s="70">
        <v>-7.4</v>
      </c>
      <c r="I114" s="70">
        <v>16.37</v>
      </c>
      <c r="J114" s="70">
        <v>-0.41</v>
      </c>
      <c r="K114" s="70">
        <v>7.17</v>
      </c>
      <c r="L114" s="70">
        <v>3.32</v>
      </c>
      <c r="M114" s="68">
        <f t="shared" si="1"/>
        <v>-416.5</v>
      </c>
    </row>
    <row r="115" spans="1:13" x14ac:dyDescent="0.25">
      <c r="A115" s="70">
        <v>2377</v>
      </c>
      <c r="B115" s="70" t="s">
        <v>229</v>
      </c>
      <c r="C115" s="70">
        <v>0</v>
      </c>
      <c r="D115" s="70" t="s">
        <v>1835</v>
      </c>
      <c r="E115" s="70">
        <v>4</v>
      </c>
      <c r="F115" s="70"/>
      <c r="G115" s="70">
        <v>400.02</v>
      </c>
      <c r="H115" s="70">
        <v>-7.36</v>
      </c>
      <c r="I115" s="70">
        <v>16.29</v>
      </c>
      <c r="J115" s="70">
        <v>-0.49</v>
      </c>
      <c r="K115" s="70">
        <v>11.3</v>
      </c>
      <c r="L115" s="70">
        <v>3.4</v>
      </c>
      <c r="M115" s="68">
        <f t="shared" si="1"/>
        <v>-400.02</v>
      </c>
    </row>
    <row r="116" spans="1:13" x14ac:dyDescent="0.25">
      <c r="A116" s="70">
        <v>2288</v>
      </c>
      <c r="B116" s="70" t="s">
        <v>229</v>
      </c>
      <c r="C116" s="70">
        <v>0</v>
      </c>
      <c r="D116" s="70" t="s">
        <v>1727</v>
      </c>
      <c r="E116" s="70">
        <v>4</v>
      </c>
      <c r="F116" s="70"/>
      <c r="G116" s="70">
        <v>-51.9</v>
      </c>
      <c r="H116" s="70">
        <v>-8.18</v>
      </c>
      <c r="I116" s="70">
        <v>16.239999999999998</v>
      </c>
      <c r="J116" s="70">
        <v>-0.56999999999999995</v>
      </c>
      <c r="K116" s="70">
        <v>-10.82</v>
      </c>
      <c r="L116" s="70">
        <v>3.91</v>
      </c>
      <c r="M116" s="68">
        <f t="shared" si="1"/>
        <v>51.9</v>
      </c>
    </row>
    <row r="117" spans="1:13" x14ac:dyDescent="0.25">
      <c r="A117" s="70">
        <v>1874</v>
      </c>
      <c r="B117" s="70" t="s">
        <v>229</v>
      </c>
      <c r="C117" s="70">
        <v>0</v>
      </c>
      <c r="D117" s="70" t="s">
        <v>1294</v>
      </c>
      <c r="E117" s="70">
        <v>0</v>
      </c>
      <c r="F117" s="70"/>
      <c r="G117" s="70">
        <v>-54.36</v>
      </c>
      <c r="H117" s="70">
        <v>-8.1999999999999993</v>
      </c>
      <c r="I117" s="70">
        <v>16.2</v>
      </c>
      <c r="J117" s="70">
        <v>-0.56999999999999995</v>
      </c>
      <c r="K117" s="70">
        <v>-7.69</v>
      </c>
      <c r="L117" s="70">
        <v>-4.22</v>
      </c>
      <c r="M117" s="68">
        <f t="shared" si="1"/>
        <v>54.36</v>
      </c>
    </row>
    <row r="118" spans="1:13" x14ac:dyDescent="0.25">
      <c r="A118" s="70">
        <v>1807</v>
      </c>
      <c r="B118" s="70" t="s">
        <v>229</v>
      </c>
      <c r="C118" s="70">
        <v>0</v>
      </c>
      <c r="D118" s="70" t="s">
        <v>1227</v>
      </c>
      <c r="E118" s="70">
        <v>4</v>
      </c>
      <c r="F118" s="70"/>
      <c r="G118" s="70">
        <v>-441.23</v>
      </c>
      <c r="H118" s="70">
        <v>-9.86</v>
      </c>
      <c r="I118" s="70">
        <v>16.190000000000001</v>
      </c>
      <c r="J118" s="70">
        <v>-0.41</v>
      </c>
      <c r="K118" s="70">
        <v>-17.59</v>
      </c>
      <c r="L118" s="70">
        <v>4.59</v>
      </c>
      <c r="M118" s="68">
        <f t="shared" si="1"/>
        <v>441.23</v>
      </c>
    </row>
    <row r="119" spans="1:13" x14ac:dyDescent="0.25">
      <c r="A119" s="70">
        <v>2378</v>
      </c>
      <c r="B119" s="70" t="s">
        <v>229</v>
      </c>
      <c r="C119" s="70">
        <v>0</v>
      </c>
      <c r="D119" s="70" t="s">
        <v>1837</v>
      </c>
      <c r="E119" s="70">
        <v>4</v>
      </c>
      <c r="F119" s="70"/>
      <c r="G119" s="70">
        <v>415.76</v>
      </c>
      <c r="H119" s="70">
        <v>-7.35</v>
      </c>
      <c r="I119" s="70">
        <v>16.14</v>
      </c>
      <c r="J119" s="70">
        <v>-0.41</v>
      </c>
      <c r="K119" s="70">
        <v>7.26</v>
      </c>
      <c r="L119" s="70">
        <v>3.31</v>
      </c>
      <c r="M119" s="68">
        <f t="shared" si="1"/>
        <v>-415.76</v>
      </c>
    </row>
    <row r="120" spans="1:13" x14ac:dyDescent="0.25">
      <c r="A120" s="70">
        <v>2497</v>
      </c>
      <c r="B120" s="70" t="s">
        <v>229</v>
      </c>
      <c r="C120" s="70">
        <v>0</v>
      </c>
      <c r="D120" s="70" t="s">
        <v>1947</v>
      </c>
      <c r="E120" s="70">
        <v>4</v>
      </c>
      <c r="F120" s="70"/>
      <c r="G120" s="70">
        <v>-442.66</v>
      </c>
      <c r="H120" s="70">
        <v>-9.8000000000000007</v>
      </c>
      <c r="I120" s="70">
        <v>16.100000000000001</v>
      </c>
      <c r="J120" s="70">
        <v>-0.4</v>
      </c>
      <c r="K120" s="70">
        <v>-17.670000000000002</v>
      </c>
      <c r="L120" s="70">
        <v>4.57</v>
      </c>
      <c r="M120" s="68">
        <f t="shared" si="1"/>
        <v>442.66</v>
      </c>
    </row>
    <row r="121" spans="1:13" x14ac:dyDescent="0.25">
      <c r="A121" s="70">
        <v>1944</v>
      </c>
      <c r="B121" s="70" t="s">
        <v>229</v>
      </c>
      <c r="C121" s="70">
        <v>0</v>
      </c>
      <c r="D121" s="70" t="s">
        <v>1369</v>
      </c>
      <c r="E121" s="70">
        <v>4</v>
      </c>
      <c r="F121" s="70"/>
      <c r="G121" s="70">
        <v>-252.2</v>
      </c>
      <c r="H121" s="70">
        <v>-8.91</v>
      </c>
      <c r="I121" s="70">
        <v>15.94</v>
      </c>
      <c r="J121" s="70">
        <v>-0.51</v>
      </c>
      <c r="K121" s="70">
        <v>-15.34</v>
      </c>
      <c r="L121" s="70">
        <v>4.16</v>
      </c>
      <c r="M121" s="68">
        <f t="shared" si="1"/>
        <v>252.2</v>
      </c>
    </row>
    <row r="122" spans="1:13" x14ac:dyDescent="0.25">
      <c r="A122" s="70">
        <v>2426</v>
      </c>
      <c r="B122" s="70" t="s">
        <v>229</v>
      </c>
      <c r="C122" s="70">
        <v>0</v>
      </c>
      <c r="D122" s="70" t="s">
        <v>1870</v>
      </c>
      <c r="E122" s="70">
        <v>0</v>
      </c>
      <c r="F122" s="70"/>
      <c r="G122" s="70">
        <v>-55.48</v>
      </c>
      <c r="H122" s="70">
        <v>-8.17</v>
      </c>
      <c r="I122" s="70">
        <v>15.9</v>
      </c>
      <c r="J122" s="70">
        <v>-0.56999999999999995</v>
      </c>
      <c r="K122" s="70">
        <v>-7.86</v>
      </c>
      <c r="L122" s="70">
        <v>-4.2</v>
      </c>
      <c r="M122" s="68">
        <f t="shared" si="1"/>
        <v>55.48</v>
      </c>
    </row>
    <row r="123" spans="1:13" x14ac:dyDescent="0.25">
      <c r="A123" s="70">
        <v>2358</v>
      </c>
      <c r="B123" s="70" t="s">
        <v>229</v>
      </c>
      <c r="C123" s="70">
        <v>0</v>
      </c>
      <c r="D123" s="70" t="s">
        <v>1801</v>
      </c>
      <c r="E123" s="70">
        <v>4</v>
      </c>
      <c r="F123" s="70"/>
      <c r="G123" s="70">
        <v>-253.73</v>
      </c>
      <c r="H123" s="70">
        <v>-8.8800000000000008</v>
      </c>
      <c r="I123" s="70">
        <v>15.79</v>
      </c>
      <c r="J123" s="70">
        <v>-0.51</v>
      </c>
      <c r="K123" s="70">
        <v>-15.41</v>
      </c>
      <c r="L123" s="70">
        <v>4.1500000000000004</v>
      </c>
      <c r="M123" s="68">
        <f t="shared" si="1"/>
        <v>253.73</v>
      </c>
    </row>
    <row r="124" spans="1:13" x14ac:dyDescent="0.25">
      <c r="A124" s="70">
        <v>1806</v>
      </c>
      <c r="B124" s="70" t="s">
        <v>229</v>
      </c>
      <c r="C124" s="70">
        <v>0</v>
      </c>
      <c r="D124" s="70" t="s">
        <v>1224</v>
      </c>
      <c r="E124" s="70">
        <v>0</v>
      </c>
      <c r="F124" s="70"/>
      <c r="G124" s="70">
        <v>-259.77999999999997</v>
      </c>
      <c r="H124" s="70">
        <v>-8.92</v>
      </c>
      <c r="I124" s="70">
        <v>15.4</v>
      </c>
      <c r="J124" s="70">
        <v>-0.51</v>
      </c>
      <c r="K124" s="70">
        <v>-13.98</v>
      </c>
      <c r="L124" s="70">
        <v>-4.7</v>
      </c>
      <c r="M124" s="68">
        <f t="shared" si="1"/>
        <v>259.77999999999997</v>
      </c>
    </row>
    <row r="125" spans="1:13" x14ac:dyDescent="0.25">
      <c r="A125" s="70">
        <v>2496</v>
      </c>
      <c r="B125" s="70" t="s">
        <v>229</v>
      </c>
      <c r="C125" s="70">
        <v>0</v>
      </c>
      <c r="D125" s="70" t="s">
        <v>1944</v>
      </c>
      <c r="E125" s="70">
        <v>0</v>
      </c>
      <c r="F125" s="70"/>
      <c r="G125" s="70">
        <v>-261.33999999999997</v>
      </c>
      <c r="H125" s="70">
        <v>-8.8800000000000008</v>
      </c>
      <c r="I125" s="70">
        <v>15.16</v>
      </c>
      <c r="J125" s="70">
        <v>-0.51</v>
      </c>
      <c r="K125" s="70">
        <v>-14.17</v>
      </c>
      <c r="L125" s="70">
        <v>-4.68</v>
      </c>
      <c r="M125" s="68">
        <f t="shared" si="1"/>
        <v>261.33999999999997</v>
      </c>
    </row>
    <row r="126" spans="1:13" x14ac:dyDescent="0.25">
      <c r="A126" s="70">
        <v>61</v>
      </c>
      <c r="B126" s="70" t="s">
        <v>229</v>
      </c>
      <c r="C126" s="70">
        <v>0</v>
      </c>
      <c r="D126" s="70" t="s">
        <v>1149</v>
      </c>
      <c r="E126" s="70">
        <v>4</v>
      </c>
      <c r="F126" s="70"/>
      <c r="G126" s="70">
        <v>87.62</v>
      </c>
      <c r="H126" s="70">
        <v>-1.83</v>
      </c>
      <c r="I126" s="70">
        <v>15.1</v>
      </c>
      <c r="J126" s="70">
        <v>-0.21</v>
      </c>
      <c r="K126" s="70">
        <v>-5.55</v>
      </c>
      <c r="L126" s="70">
        <v>0.91</v>
      </c>
      <c r="M126" s="68">
        <f t="shared" si="1"/>
        <v>-87.62</v>
      </c>
    </row>
    <row r="127" spans="1:13" x14ac:dyDescent="0.25">
      <c r="A127" s="70">
        <v>2563</v>
      </c>
      <c r="B127" s="70" t="s">
        <v>229</v>
      </c>
      <c r="C127" s="70">
        <v>0</v>
      </c>
      <c r="D127" s="70" t="s">
        <v>2013</v>
      </c>
      <c r="E127" s="70">
        <v>4</v>
      </c>
      <c r="F127" s="70"/>
      <c r="G127" s="70">
        <v>88.23</v>
      </c>
      <c r="H127" s="70">
        <v>-1.83</v>
      </c>
      <c r="I127" s="70">
        <v>14.85</v>
      </c>
      <c r="J127" s="70">
        <v>-0.21</v>
      </c>
      <c r="K127" s="70">
        <v>-5.41</v>
      </c>
      <c r="L127" s="70">
        <v>0.91</v>
      </c>
      <c r="M127" s="68">
        <f t="shared" si="1"/>
        <v>-88.23</v>
      </c>
    </row>
    <row r="128" spans="1:13" x14ac:dyDescent="0.25">
      <c r="A128" s="70">
        <v>1824</v>
      </c>
      <c r="B128" s="70" t="s">
        <v>229</v>
      </c>
      <c r="C128" s="70">
        <v>0</v>
      </c>
      <c r="D128" s="70" t="s">
        <v>1257</v>
      </c>
      <c r="E128" s="70">
        <v>4</v>
      </c>
      <c r="F128" s="70"/>
      <c r="G128" s="70">
        <v>324.55</v>
      </c>
      <c r="H128" s="70">
        <v>-7.38</v>
      </c>
      <c r="I128" s="70">
        <v>14.79</v>
      </c>
      <c r="J128" s="70">
        <v>-0.55000000000000004</v>
      </c>
      <c r="K128" s="70">
        <v>13.36</v>
      </c>
      <c r="L128" s="70">
        <v>3.56</v>
      </c>
      <c r="M128" s="68">
        <f t="shared" si="1"/>
        <v>-324.55</v>
      </c>
    </row>
    <row r="129" spans="1:13" x14ac:dyDescent="0.25">
      <c r="A129" s="70">
        <v>1758</v>
      </c>
      <c r="B129" s="70" t="s">
        <v>229</v>
      </c>
      <c r="C129" s="70">
        <v>0</v>
      </c>
      <c r="D129" s="70" t="s">
        <v>1191</v>
      </c>
      <c r="E129" s="70">
        <v>4</v>
      </c>
      <c r="F129" s="70"/>
      <c r="G129" s="70">
        <v>393.57</v>
      </c>
      <c r="H129" s="70">
        <v>-7.35</v>
      </c>
      <c r="I129" s="70">
        <v>14.66</v>
      </c>
      <c r="J129" s="70">
        <v>-0.33</v>
      </c>
      <c r="K129" s="70">
        <v>5.56</v>
      </c>
      <c r="L129" s="70">
        <v>3.23</v>
      </c>
      <c r="M129" s="68">
        <f t="shared" si="1"/>
        <v>-393.57</v>
      </c>
    </row>
    <row r="130" spans="1:13" x14ac:dyDescent="0.25">
      <c r="A130" s="70">
        <v>62</v>
      </c>
      <c r="B130" s="70" t="s">
        <v>229</v>
      </c>
      <c r="C130" s="70">
        <v>0</v>
      </c>
      <c r="D130" s="70" t="s">
        <v>1151</v>
      </c>
      <c r="E130" s="70">
        <v>4</v>
      </c>
      <c r="F130" s="70"/>
      <c r="G130" s="70">
        <v>-30.7</v>
      </c>
      <c r="H130" s="70">
        <v>-1.97</v>
      </c>
      <c r="I130" s="70">
        <v>14.56</v>
      </c>
      <c r="J130" s="70">
        <v>-0.2</v>
      </c>
      <c r="K130" s="70">
        <v>-8.2899999999999991</v>
      </c>
      <c r="L130" s="70">
        <v>0.96</v>
      </c>
      <c r="M130" s="68">
        <f t="shared" ref="M130:M193" si="2">G130*-1</f>
        <v>30.7</v>
      </c>
    </row>
    <row r="131" spans="1:13" x14ac:dyDescent="0.25">
      <c r="A131" s="70">
        <v>1871</v>
      </c>
      <c r="B131" s="70" t="s">
        <v>229</v>
      </c>
      <c r="C131" s="70">
        <v>0</v>
      </c>
      <c r="D131" s="70" t="s">
        <v>1289</v>
      </c>
      <c r="E131" s="70">
        <v>4</v>
      </c>
      <c r="F131" s="70"/>
      <c r="G131" s="70">
        <v>410.67</v>
      </c>
      <c r="H131" s="70">
        <v>-7.34</v>
      </c>
      <c r="I131" s="70">
        <v>14.54</v>
      </c>
      <c r="J131" s="70">
        <v>-0.5</v>
      </c>
      <c r="K131" s="70">
        <v>11.93</v>
      </c>
      <c r="L131" s="70">
        <v>3.9</v>
      </c>
      <c r="M131" s="68">
        <f t="shared" si="2"/>
        <v>-410.67</v>
      </c>
    </row>
    <row r="132" spans="1:13" x14ac:dyDescent="0.25">
      <c r="A132" s="70">
        <v>2448</v>
      </c>
      <c r="B132" s="70" t="s">
        <v>229</v>
      </c>
      <c r="C132" s="70">
        <v>0</v>
      </c>
      <c r="D132" s="70" t="s">
        <v>1911</v>
      </c>
      <c r="E132" s="70">
        <v>4</v>
      </c>
      <c r="F132" s="70"/>
      <c r="G132" s="70">
        <v>392.91</v>
      </c>
      <c r="H132" s="70">
        <v>-7.3</v>
      </c>
      <c r="I132" s="70">
        <v>14.51</v>
      </c>
      <c r="J132" s="70">
        <v>-0.33</v>
      </c>
      <c r="K132" s="70">
        <v>5.63</v>
      </c>
      <c r="L132" s="70">
        <v>3.21</v>
      </c>
      <c r="M132" s="68">
        <f t="shared" si="2"/>
        <v>-392.91</v>
      </c>
    </row>
    <row r="133" spans="1:13" x14ac:dyDescent="0.25">
      <c r="A133" s="70">
        <v>2376</v>
      </c>
      <c r="B133" s="70" t="s">
        <v>229</v>
      </c>
      <c r="C133" s="70">
        <v>0</v>
      </c>
      <c r="D133" s="70" t="s">
        <v>1833</v>
      </c>
      <c r="E133" s="70">
        <v>4</v>
      </c>
      <c r="F133" s="70"/>
      <c r="G133" s="70">
        <v>323.39999999999998</v>
      </c>
      <c r="H133" s="70">
        <v>-7.37</v>
      </c>
      <c r="I133" s="70">
        <v>14.44</v>
      </c>
      <c r="J133" s="70">
        <v>-0.55000000000000004</v>
      </c>
      <c r="K133" s="70">
        <v>13.5</v>
      </c>
      <c r="L133" s="70">
        <v>3.56</v>
      </c>
      <c r="M133" s="68">
        <f t="shared" si="2"/>
        <v>-323.39999999999998</v>
      </c>
    </row>
    <row r="134" spans="1:13" x14ac:dyDescent="0.25">
      <c r="A134" s="70">
        <v>2564</v>
      </c>
      <c r="B134" s="70" t="s">
        <v>229</v>
      </c>
      <c r="C134" s="70">
        <v>0</v>
      </c>
      <c r="D134" s="70" t="s">
        <v>2015</v>
      </c>
      <c r="E134" s="70">
        <v>4</v>
      </c>
      <c r="F134" s="70"/>
      <c r="G134" s="70">
        <v>-31.63</v>
      </c>
      <c r="H134" s="70">
        <v>-1.96</v>
      </c>
      <c r="I134" s="70">
        <v>14.35</v>
      </c>
      <c r="J134" s="70">
        <v>-0.2</v>
      </c>
      <c r="K134" s="70">
        <v>-8.16</v>
      </c>
      <c r="L134" s="70">
        <v>0.95</v>
      </c>
      <c r="M134" s="68">
        <f t="shared" si="2"/>
        <v>31.63</v>
      </c>
    </row>
    <row r="135" spans="1:13" x14ac:dyDescent="0.25">
      <c r="A135" s="70">
        <v>1751</v>
      </c>
      <c r="B135" s="70" t="s">
        <v>229</v>
      </c>
      <c r="C135" s="70">
        <v>0</v>
      </c>
      <c r="D135" s="70" t="s">
        <v>1177</v>
      </c>
      <c r="E135" s="70">
        <v>4</v>
      </c>
      <c r="F135" s="70"/>
      <c r="G135" s="70">
        <v>-441.5</v>
      </c>
      <c r="H135" s="70">
        <v>-9.81</v>
      </c>
      <c r="I135" s="70">
        <v>14.33</v>
      </c>
      <c r="J135" s="70">
        <v>-0.41</v>
      </c>
      <c r="K135" s="70">
        <v>-16.48</v>
      </c>
      <c r="L135" s="70">
        <v>5.2</v>
      </c>
      <c r="M135" s="68">
        <f t="shared" si="2"/>
        <v>441.5</v>
      </c>
    </row>
    <row r="136" spans="1:13" x14ac:dyDescent="0.25">
      <c r="A136" s="70">
        <v>2423</v>
      </c>
      <c r="B136" s="70" t="s">
        <v>229</v>
      </c>
      <c r="C136" s="70">
        <v>0</v>
      </c>
      <c r="D136" s="70" t="s">
        <v>1865</v>
      </c>
      <c r="E136" s="70">
        <v>4</v>
      </c>
      <c r="F136" s="70"/>
      <c r="G136" s="70">
        <v>411.56</v>
      </c>
      <c r="H136" s="70">
        <v>-7.37</v>
      </c>
      <c r="I136" s="70">
        <v>14.25</v>
      </c>
      <c r="J136" s="70">
        <v>-0.5</v>
      </c>
      <c r="K136" s="70">
        <v>12.04</v>
      </c>
      <c r="L136" s="70">
        <v>3.92</v>
      </c>
      <c r="M136" s="68">
        <f t="shared" si="2"/>
        <v>-411.56</v>
      </c>
    </row>
    <row r="137" spans="1:13" x14ac:dyDescent="0.25">
      <c r="A137" s="70">
        <v>2441</v>
      </c>
      <c r="B137" s="70" t="s">
        <v>229</v>
      </c>
      <c r="C137" s="70">
        <v>0</v>
      </c>
      <c r="D137" s="70" t="s">
        <v>1897</v>
      </c>
      <c r="E137" s="70">
        <v>4</v>
      </c>
      <c r="F137" s="70"/>
      <c r="G137" s="70">
        <v>-439.59</v>
      </c>
      <c r="H137" s="70">
        <v>-9.86</v>
      </c>
      <c r="I137" s="70">
        <v>14.25</v>
      </c>
      <c r="J137" s="70">
        <v>-0.41</v>
      </c>
      <c r="K137" s="70">
        <v>-16.54</v>
      </c>
      <c r="L137" s="70">
        <v>5.23</v>
      </c>
      <c r="M137" s="68">
        <f t="shared" si="2"/>
        <v>439.59</v>
      </c>
    </row>
    <row r="138" spans="1:13" x14ac:dyDescent="0.25">
      <c r="A138" s="70">
        <v>1941</v>
      </c>
      <c r="B138" s="70" t="s">
        <v>229</v>
      </c>
      <c r="C138" s="70">
        <v>0</v>
      </c>
      <c r="D138" s="70" t="s">
        <v>1363</v>
      </c>
      <c r="E138" s="70">
        <v>4</v>
      </c>
      <c r="F138" s="70"/>
      <c r="G138" s="70">
        <v>329.06</v>
      </c>
      <c r="H138" s="70">
        <v>-7.37</v>
      </c>
      <c r="I138" s="70">
        <v>14.12</v>
      </c>
      <c r="J138" s="70">
        <v>-0.56000000000000005</v>
      </c>
      <c r="K138" s="70">
        <v>10.31</v>
      </c>
      <c r="L138" s="70">
        <v>3.81</v>
      </c>
      <c r="M138" s="68">
        <f t="shared" si="2"/>
        <v>-329.06</v>
      </c>
    </row>
    <row r="139" spans="1:13" x14ac:dyDescent="0.25">
      <c r="A139" s="70">
        <v>2218</v>
      </c>
      <c r="B139" s="70" t="s">
        <v>229</v>
      </c>
      <c r="C139" s="70">
        <v>0</v>
      </c>
      <c r="D139" s="70" t="s">
        <v>1653</v>
      </c>
      <c r="E139" s="70">
        <v>4</v>
      </c>
      <c r="F139" s="70"/>
      <c r="G139" s="70">
        <v>173.73</v>
      </c>
      <c r="H139" s="70">
        <v>-7.65</v>
      </c>
      <c r="I139" s="70">
        <v>14.07</v>
      </c>
      <c r="J139" s="70">
        <v>-0.6</v>
      </c>
      <c r="K139" s="70">
        <v>-3.36</v>
      </c>
      <c r="L139" s="70">
        <v>3.79</v>
      </c>
      <c r="M139" s="68">
        <f t="shared" si="2"/>
        <v>-173.73</v>
      </c>
    </row>
    <row r="140" spans="1:13" x14ac:dyDescent="0.25">
      <c r="A140" s="70">
        <v>2080</v>
      </c>
      <c r="B140" s="70" t="s">
        <v>229</v>
      </c>
      <c r="C140" s="70">
        <v>0</v>
      </c>
      <c r="D140" s="70" t="s">
        <v>1509</v>
      </c>
      <c r="E140" s="70">
        <v>4</v>
      </c>
      <c r="F140" s="70"/>
      <c r="G140" s="70">
        <v>173.44</v>
      </c>
      <c r="H140" s="70">
        <v>-7.65</v>
      </c>
      <c r="I140" s="70">
        <v>14.04</v>
      </c>
      <c r="J140" s="70">
        <v>-0.6</v>
      </c>
      <c r="K140" s="70">
        <v>-3.42</v>
      </c>
      <c r="L140" s="70">
        <v>3.79</v>
      </c>
      <c r="M140" s="68">
        <f t="shared" si="2"/>
        <v>-173.44</v>
      </c>
    </row>
    <row r="141" spans="1:13" x14ac:dyDescent="0.25">
      <c r="A141" s="70">
        <v>1895</v>
      </c>
      <c r="B141" s="70" t="s">
        <v>229</v>
      </c>
      <c r="C141" s="70">
        <v>0</v>
      </c>
      <c r="D141" s="70" t="s">
        <v>1333</v>
      </c>
      <c r="E141" s="70">
        <v>4</v>
      </c>
      <c r="F141" s="70"/>
      <c r="G141" s="70">
        <v>414.89</v>
      </c>
      <c r="H141" s="70">
        <v>-7.4</v>
      </c>
      <c r="I141" s="70">
        <v>13.92</v>
      </c>
      <c r="J141" s="70">
        <v>-0.41</v>
      </c>
      <c r="K141" s="70">
        <v>6.02</v>
      </c>
      <c r="L141" s="70">
        <v>3.32</v>
      </c>
      <c r="M141" s="68">
        <f t="shared" si="2"/>
        <v>-414.89</v>
      </c>
    </row>
    <row r="142" spans="1:13" x14ac:dyDescent="0.25">
      <c r="A142" s="70">
        <v>2355</v>
      </c>
      <c r="B142" s="70" t="s">
        <v>229</v>
      </c>
      <c r="C142" s="70">
        <v>0</v>
      </c>
      <c r="D142" s="70" t="s">
        <v>1795</v>
      </c>
      <c r="E142" s="70">
        <v>4</v>
      </c>
      <c r="F142" s="70"/>
      <c r="G142" s="70">
        <v>330.05</v>
      </c>
      <c r="H142" s="70">
        <v>-7.37</v>
      </c>
      <c r="I142" s="70">
        <v>13.85</v>
      </c>
      <c r="J142" s="70">
        <v>-0.56000000000000005</v>
      </c>
      <c r="K142" s="70">
        <v>10.41</v>
      </c>
      <c r="L142" s="70">
        <v>3.81</v>
      </c>
      <c r="M142" s="68">
        <f t="shared" si="2"/>
        <v>-330.05</v>
      </c>
    </row>
    <row r="143" spans="1:13" x14ac:dyDescent="0.25">
      <c r="A143" s="70">
        <v>1876</v>
      </c>
      <c r="B143" s="70" t="s">
        <v>229</v>
      </c>
      <c r="C143" s="70">
        <v>0</v>
      </c>
      <c r="D143" s="70" t="s">
        <v>1299</v>
      </c>
      <c r="E143" s="70">
        <v>4</v>
      </c>
      <c r="F143" s="70"/>
      <c r="G143" s="70">
        <v>-434.54</v>
      </c>
      <c r="H143" s="70">
        <v>-9.85</v>
      </c>
      <c r="I143" s="70">
        <v>13.79</v>
      </c>
      <c r="J143" s="70">
        <v>-0.41</v>
      </c>
      <c r="K143" s="70">
        <v>-16.510000000000002</v>
      </c>
      <c r="L143" s="70">
        <v>4.59</v>
      </c>
      <c r="M143" s="68">
        <f t="shared" si="2"/>
        <v>434.54</v>
      </c>
    </row>
    <row r="144" spans="1:13" x14ac:dyDescent="0.25">
      <c r="A144" s="70">
        <v>2309</v>
      </c>
      <c r="B144" s="70" t="s">
        <v>229</v>
      </c>
      <c r="C144" s="70">
        <v>0</v>
      </c>
      <c r="D144" s="70" t="s">
        <v>1765</v>
      </c>
      <c r="E144" s="70">
        <v>4</v>
      </c>
      <c r="F144" s="70"/>
      <c r="G144" s="70">
        <v>414.27</v>
      </c>
      <c r="H144" s="70">
        <v>-7.36</v>
      </c>
      <c r="I144" s="70">
        <v>13.75</v>
      </c>
      <c r="J144" s="70">
        <v>-0.41</v>
      </c>
      <c r="K144" s="70">
        <v>6.09</v>
      </c>
      <c r="L144" s="70">
        <v>3.31</v>
      </c>
      <c r="M144" s="68">
        <f t="shared" si="2"/>
        <v>-414.27</v>
      </c>
    </row>
    <row r="145" spans="1:13" x14ac:dyDescent="0.25">
      <c r="A145" s="70">
        <v>1894</v>
      </c>
      <c r="B145" s="70" t="s">
        <v>229</v>
      </c>
      <c r="C145" s="70">
        <v>0</v>
      </c>
      <c r="D145" s="70" t="s">
        <v>1331</v>
      </c>
      <c r="E145" s="70">
        <v>4</v>
      </c>
      <c r="F145" s="70"/>
      <c r="G145" s="70">
        <v>399.64</v>
      </c>
      <c r="H145" s="70">
        <v>-7.38</v>
      </c>
      <c r="I145" s="70">
        <v>13.72</v>
      </c>
      <c r="J145" s="70">
        <v>-0.49</v>
      </c>
      <c r="K145" s="70">
        <v>9.8800000000000008</v>
      </c>
      <c r="L145" s="70">
        <v>3.41</v>
      </c>
      <c r="M145" s="68">
        <f t="shared" si="2"/>
        <v>-399.64</v>
      </c>
    </row>
    <row r="146" spans="1:13" x14ac:dyDescent="0.25">
      <c r="A146" s="70">
        <v>2428</v>
      </c>
      <c r="B146" s="70" t="s">
        <v>229</v>
      </c>
      <c r="C146" s="70">
        <v>0</v>
      </c>
      <c r="D146" s="70" t="s">
        <v>1875</v>
      </c>
      <c r="E146" s="70">
        <v>4</v>
      </c>
      <c r="F146" s="70"/>
      <c r="G146" s="70">
        <v>-436.13</v>
      </c>
      <c r="H146" s="70">
        <v>-9.8000000000000007</v>
      </c>
      <c r="I146" s="70">
        <v>13.72</v>
      </c>
      <c r="J146" s="70">
        <v>-0.4</v>
      </c>
      <c r="K146" s="70">
        <v>-16.59</v>
      </c>
      <c r="L146" s="70">
        <v>4.57</v>
      </c>
      <c r="M146" s="68">
        <f t="shared" si="2"/>
        <v>436.13</v>
      </c>
    </row>
    <row r="147" spans="1:13" x14ac:dyDescent="0.25">
      <c r="A147" s="70">
        <v>2488</v>
      </c>
      <c r="B147" s="70" t="s">
        <v>229</v>
      </c>
      <c r="C147" s="70">
        <v>0</v>
      </c>
      <c r="D147" s="70" t="s">
        <v>1929</v>
      </c>
      <c r="E147" s="70">
        <v>4</v>
      </c>
      <c r="F147" s="70"/>
      <c r="G147" s="70">
        <v>326.38</v>
      </c>
      <c r="H147" s="70">
        <v>-6.74</v>
      </c>
      <c r="I147" s="70">
        <v>13.72</v>
      </c>
      <c r="J147" s="70">
        <v>0.23</v>
      </c>
      <c r="K147" s="70">
        <v>6.15</v>
      </c>
      <c r="L147" s="70">
        <v>3.82</v>
      </c>
      <c r="M147" s="68">
        <f t="shared" si="2"/>
        <v>-326.38</v>
      </c>
    </row>
    <row r="148" spans="1:13" x14ac:dyDescent="0.25">
      <c r="A148" s="70">
        <v>1798</v>
      </c>
      <c r="B148" s="70" t="s">
        <v>229</v>
      </c>
      <c r="C148" s="70">
        <v>0</v>
      </c>
      <c r="D148" s="70" t="s">
        <v>1209</v>
      </c>
      <c r="E148" s="70">
        <v>4</v>
      </c>
      <c r="F148" s="70"/>
      <c r="G148" s="70">
        <v>326.08</v>
      </c>
      <c r="H148" s="70">
        <v>-6.7</v>
      </c>
      <c r="I148" s="70">
        <v>13.59</v>
      </c>
      <c r="J148" s="70">
        <v>0.23</v>
      </c>
      <c r="K148" s="70">
        <v>6.17</v>
      </c>
      <c r="L148" s="70">
        <v>-3.8</v>
      </c>
      <c r="M148" s="68">
        <f t="shared" si="2"/>
        <v>-326.08</v>
      </c>
    </row>
    <row r="149" spans="1:13" x14ac:dyDescent="0.25">
      <c r="A149" s="70">
        <v>2</v>
      </c>
      <c r="B149" s="70" t="s">
        <v>229</v>
      </c>
      <c r="C149" s="70">
        <v>0</v>
      </c>
      <c r="D149" s="70" t="s">
        <v>1097</v>
      </c>
      <c r="E149" s="70">
        <v>4</v>
      </c>
      <c r="F149" s="70"/>
      <c r="G149" s="70">
        <v>-433.6</v>
      </c>
      <c r="H149" s="70">
        <v>1.88</v>
      </c>
      <c r="I149" s="70">
        <v>13.58</v>
      </c>
      <c r="J149" s="70">
        <v>0.09</v>
      </c>
      <c r="K149" s="70">
        <v>-4.41</v>
      </c>
      <c r="L149" s="70">
        <v>-0.92</v>
      </c>
      <c r="M149" s="68">
        <f t="shared" si="2"/>
        <v>433.6</v>
      </c>
    </row>
    <row r="150" spans="1:13" x14ac:dyDescent="0.25">
      <c r="A150" s="70">
        <v>2438</v>
      </c>
      <c r="B150" s="70" t="s">
        <v>229</v>
      </c>
      <c r="C150" s="70">
        <v>0</v>
      </c>
      <c r="D150" s="70" t="s">
        <v>1891</v>
      </c>
      <c r="E150" s="70">
        <v>4</v>
      </c>
      <c r="F150" s="70"/>
      <c r="G150" s="70">
        <v>-773.04</v>
      </c>
      <c r="H150" s="70">
        <v>-10.57</v>
      </c>
      <c r="I150" s="70">
        <v>13.58</v>
      </c>
      <c r="J150" s="70">
        <v>0.3</v>
      </c>
      <c r="K150" s="70">
        <v>-11.58</v>
      </c>
      <c r="L150" s="70">
        <v>5.35</v>
      </c>
      <c r="M150" s="68">
        <f t="shared" si="2"/>
        <v>773.04</v>
      </c>
    </row>
    <row r="151" spans="1:13" x14ac:dyDescent="0.25">
      <c r="A151" s="70">
        <v>2308</v>
      </c>
      <c r="B151" s="70" t="s">
        <v>229</v>
      </c>
      <c r="C151" s="70">
        <v>0</v>
      </c>
      <c r="D151" s="70" t="s">
        <v>1763</v>
      </c>
      <c r="E151" s="70">
        <v>4</v>
      </c>
      <c r="F151" s="70"/>
      <c r="G151" s="70">
        <v>398.81</v>
      </c>
      <c r="H151" s="70">
        <v>-7.36</v>
      </c>
      <c r="I151" s="70">
        <v>13.49</v>
      </c>
      <c r="J151" s="70">
        <v>-0.49</v>
      </c>
      <c r="K151" s="70">
        <v>9.9700000000000006</v>
      </c>
      <c r="L151" s="70">
        <v>3.4</v>
      </c>
      <c r="M151" s="68">
        <f t="shared" si="2"/>
        <v>-398.81</v>
      </c>
    </row>
    <row r="152" spans="1:13" x14ac:dyDescent="0.25">
      <c r="A152" s="70">
        <v>1942</v>
      </c>
      <c r="B152" s="70" t="s">
        <v>229</v>
      </c>
      <c r="C152" s="70">
        <v>0</v>
      </c>
      <c r="D152" s="70" t="s">
        <v>1364</v>
      </c>
      <c r="E152" s="70">
        <v>0</v>
      </c>
      <c r="F152" s="70"/>
      <c r="G152" s="70">
        <v>174.8</v>
      </c>
      <c r="H152" s="70">
        <v>-7.65</v>
      </c>
      <c r="I152" s="70">
        <v>13.47</v>
      </c>
      <c r="J152" s="70">
        <v>-0.6</v>
      </c>
      <c r="K152" s="70">
        <v>10.89</v>
      </c>
      <c r="L152" s="70">
        <v>-3.82</v>
      </c>
      <c r="M152" s="68">
        <f t="shared" si="2"/>
        <v>-174.8</v>
      </c>
    </row>
    <row r="153" spans="1:13" x14ac:dyDescent="0.25">
      <c r="A153" s="70">
        <v>2506</v>
      </c>
      <c r="B153" s="70" t="s">
        <v>229</v>
      </c>
      <c r="C153" s="70">
        <v>0</v>
      </c>
      <c r="D153" s="70" t="s">
        <v>1961</v>
      </c>
      <c r="E153" s="70">
        <v>4</v>
      </c>
      <c r="F153" s="70"/>
      <c r="G153" s="70">
        <v>-431.9</v>
      </c>
      <c r="H153" s="70">
        <v>1.87</v>
      </c>
      <c r="I153" s="70">
        <v>13.4</v>
      </c>
      <c r="J153" s="70">
        <v>0.09</v>
      </c>
      <c r="K153" s="70">
        <v>-4.49</v>
      </c>
      <c r="L153" s="70">
        <v>-0.91</v>
      </c>
      <c r="M153" s="68">
        <f t="shared" si="2"/>
        <v>431.9</v>
      </c>
    </row>
    <row r="154" spans="1:13" x14ac:dyDescent="0.25">
      <c r="A154" s="70">
        <v>2439</v>
      </c>
      <c r="B154" s="70" t="s">
        <v>229</v>
      </c>
      <c r="C154" s="70">
        <v>0</v>
      </c>
      <c r="D154" s="70" t="s">
        <v>1893</v>
      </c>
      <c r="E154" s="70">
        <v>4</v>
      </c>
      <c r="F154" s="70"/>
      <c r="G154" s="70">
        <v>-685.22</v>
      </c>
      <c r="H154" s="70">
        <v>-11.34</v>
      </c>
      <c r="I154" s="70">
        <v>13.37</v>
      </c>
      <c r="J154" s="70">
        <v>0.3</v>
      </c>
      <c r="K154" s="70">
        <v>-14.09</v>
      </c>
      <c r="L154" s="70">
        <v>5.89</v>
      </c>
      <c r="M154" s="68">
        <f t="shared" si="2"/>
        <v>685.22</v>
      </c>
    </row>
    <row r="155" spans="1:13" x14ac:dyDescent="0.25">
      <c r="A155" s="70">
        <v>2219</v>
      </c>
      <c r="B155" s="70" t="s">
        <v>229</v>
      </c>
      <c r="C155" s="70">
        <v>0</v>
      </c>
      <c r="D155" s="70" t="s">
        <v>1655</v>
      </c>
      <c r="E155" s="70">
        <v>4</v>
      </c>
      <c r="F155" s="70"/>
      <c r="G155" s="70">
        <v>-49.24</v>
      </c>
      <c r="H155" s="70">
        <v>-8.18</v>
      </c>
      <c r="I155" s="70">
        <v>13.31</v>
      </c>
      <c r="J155" s="70">
        <v>-0.56999999999999995</v>
      </c>
      <c r="K155" s="70">
        <v>-9.48</v>
      </c>
      <c r="L155" s="70">
        <v>3.91</v>
      </c>
      <c r="M155" s="68">
        <f t="shared" si="2"/>
        <v>49.24</v>
      </c>
    </row>
    <row r="156" spans="1:13" x14ac:dyDescent="0.25">
      <c r="A156" s="70">
        <v>2081</v>
      </c>
      <c r="B156" s="70" t="s">
        <v>229</v>
      </c>
      <c r="C156" s="70">
        <v>0</v>
      </c>
      <c r="D156" s="70" t="s">
        <v>1511</v>
      </c>
      <c r="E156" s="70">
        <v>4</v>
      </c>
      <c r="F156" s="70"/>
      <c r="G156" s="70">
        <v>-48.82</v>
      </c>
      <c r="H156" s="70">
        <v>-8.19</v>
      </c>
      <c r="I156" s="70">
        <v>13.28</v>
      </c>
      <c r="J156" s="70">
        <v>-0.56999999999999995</v>
      </c>
      <c r="K156" s="70">
        <v>-9.44</v>
      </c>
      <c r="L156" s="70">
        <v>3.91</v>
      </c>
      <c r="M156" s="68">
        <f t="shared" si="2"/>
        <v>48.82</v>
      </c>
    </row>
    <row r="157" spans="1:13" x14ac:dyDescent="0.25">
      <c r="A157" s="70">
        <v>2356</v>
      </c>
      <c r="B157" s="70" t="s">
        <v>229</v>
      </c>
      <c r="C157" s="70">
        <v>0</v>
      </c>
      <c r="D157" s="70" t="s">
        <v>1796</v>
      </c>
      <c r="E157" s="70">
        <v>0</v>
      </c>
      <c r="F157" s="70"/>
      <c r="G157" s="70">
        <v>175.49</v>
      </c>
      <c r="H157" s="70">
        <v>-7.64</v>
      </c>
      <c r="I157" s="70">
        <v>13.21</v>
      </c>
      <c r="J157" s="70">
        <v>-0.6</v>
      </c>
      <c r="K157" s="70">
        <v>10.79</v>
      </c>
      <c r="L157" s="70">
        <v>-3.81</v>
      </c>
      <c r="M157" s="68">
        <f t="shared" si="2"/>
        <v>-175.49</v>
      </c>
    </row>
    <row r="158" spans="1:13" x14ac:dyDescent="0.25">
      <c r="A158" s="70">
        <v>2440</v>
      </c>
      <c r="B158" s="70" t="s">
        <v>229</v>
      </c>
      <c r="C158" s="70">
        <v>0</v>
      </c>
      <c r="D158" s="70" t="s">
        <v>1895</v>
      </c>
      <c r="E158" s="70">
        <v>4</v>
      </c>
      <c r="F158" s="70"/>
      <c r="G158" s="70">
        <v>-579.03</v>
      </c>
      <c r="H158" s="70">
        <v>-10.88</v>
      </c>
      <c r="I158" s="70">
        <v>13.15</v>
      </c>
      <c r="J158" s="70">
        <v>0.33</v>
      </c>
      <c r="K158" s="70">
        <v>-16.27</v>
      </c>
      <c r="L158" s="70">
        <v>5.72</v>
      </c>
      <c r="M158" s="68">
        <f t="shared" si="2"/>
        <v>579.03</v>
      </c>
    </row>
    <row r="159" spans="1:13" x14ac:dyDescent="0.25">
      <c r="A159" s="70">
        <v>1748</v>
      </c>
      <c r="B159" s="70" t="s">
        <v>229</v>
      </c>
      <c r="C159" s="70">
        <v>0</v>
      </c>
      <c r="D159" s="70" t="s">
        <v>1171</v>
      </c>
      <c r="E159" s="70">
        <v>4</v>
      </c>
      <c r="F159" s="70"/>
      <c r="G159" s="70">
        <v>-775.24</v>
      </c>
      <c r="H159" s="70">
        <v>10.56</v>
      </c>
      <c r="I159" s="70">
        <v>13.08</v>
      </c>
      <c r="J159" s="70">
        <v>0.3</v>
      </c>
      <c r="K159" s="70">
        <v>-11.39</v>
      </c>
      <c r="L159" s="70">
        <v>-5.33</v>
      </c>
      <c r="M159" s="68">
        <f t="shared" si="2"/>
        <v>775.24</v>
      </c>
    </row>
    <row r="160" spans="1:13" x14ac:dyDescent="0.25">
      <c r="A160" s="70">
        <v>1749</v>
      </c>
      <c r="B160" s="70" t="s">
        <v>229</v>
      </c>
      <c r="C160" s="70">
        <v>0</v>
      </c>
      <c r="D160" s="70" t="s">
        <v>1173</v>
      </c>
      <c r="E160" s="70">
        <v>4</v>
      </c>
      <c r="F160" s="70"/>
      <c r="G160" s="70">
        <v>-685.92</v>
      </c>
      <c r="H160" s="70">
        <v>11.3</v>
      </c>
      <c r="I160" s="70">
        <v>13.08</v>
      </c>
      <c r="J160" s="70">
        <v>0.31</v>
      </c>
      <c r="K160" s="70">
        <v>-13.92</v>
      </c>
      <c r="L160" s="70">
        <v>5.86</v>
      </c>
      <c r="M160" s="68">
        <f t="shared" si="2"/>
        <v>685.92</v>
      </c>
    </row>
    <row r="161" spans="1:13" x14ac:dyDescent="0.25">
      <c r="A161" s="70">
        <v>1750</v>
      </c>
      <c r="B161" s="70" t="s">
        <v>229</v>
      </c>
      <c r="C161" s="70">
        <v>0</v>
      </c>
      <c r="D161" s="70" t="s">
        <v>1175</v>
      </c>
      <c r="E161" s="70">
        <v>4</v>
      </c>
      <c r="F161" s="70"/>
      <c r="G161" s="70">
        <v>-580.35</v>
      </c>
      <c r="H161" s="70">
        <v>10.83</v>
      </c>
      <c r="I161" s="70">
        <v>13.02</v>
      </c>
      <c r="J161" s="70">
        <v>0.33</v>
      </c>
      <c r="K161" s="70">
        <v>-16.21</v>
      </c>
      <c r="L161" s="70">
        <v>5.69</v>
      </c>
      <c r="M161" s="68">
        <f t="shared" si="2"/>
        <v>580.35</v>
      </c>
    </row>
    <row r="162" spans="1:13" x14ac:dyDescent="0.25">
      <c r="A162" s="70">
        <v>2013</v>
      </c>
      <c r="B162" s="70" t="s">
        <v>229</v>
      </c>
      <c r="C162" s="70">
        <v>0</v>
      </c>
      <c r="D162" s="70" t="s">
        <v>1441</v>
      </c>
      <c r="E162" s="70">
        <v>4</v>
      </c>
      <c r="F162" s="70"/>
      <c r="G162" s="70">
        <v>-246.98</v>
      </c>
      <c r="H162" s="70">
        <v>-8.91</v>
      </c>
      <c r="I162" s="70">
        <v>12.91</v>
      </c>
      <c r="J162" s="70">
        <v>-0.51</v>
      </c>
      <c r="K162" s="70">
        <v>-14.03</v>
      </c>
      <c r="L162" s="70">
        <v>4.16</v>
      </c>
      <c r="M162" s="68">
        <f t="shared" si="2"/>
        <v>246.98</v>
      </c>
    </row>
    <row r="163" spans="1:13" x14ac:dyDescent="0.25">
      <c r="A163" s="70">
        <v>1943</v>
      </c>
      <c r="B163" s="70" t="s">
        <v>229</v>
      </c>
      <c r="C163" s="70">
        <v>0</v>
      </c>
      <c r="D163" s="70" t="s">
        <v>1366</v>
      </c>
      <c r="E163" s="70">
        <v>0</v>
      </c>
      <c r="F163" s="70"/>
      <c r="G163" s="70">
        <v>-51.89</v>
      </c>
      <c r="H163" s="70">
        <v>-8.19</v>
      </c>
      <c r="I163" s="70">
        <v>12.81</v>
      </c>
      <c r="J163" s="70">
        <v>-0.56999999999999995</v>
      </c>
      <c r="K163" s="70">
        <v>-6.21</v>
      </c>
      <c r="L163" s="70">
        <v>-4.22</v>
      </c>
      <c r="M163" s="68">
        <f t="shared" si="2"/>
        <v>51.89</v>
      </c>
    </row>
    <row r="164" spans="1:13" x14ac:dyDescent="0.25">
      <c r="A164" s="70">
        <v>2289</v>
      </c>
      <c r="B164" s="70" t="s">
        <v>229</v>
      </c>
      <c r="C164" s="70">
        <v>0</v>
      </c>
      <c r="D164" s="70" t="s">
        <v>1729</v>
      </c>
      <c r="E164" s="70">
        <v>4</v>
      </c>
      <c r="F164" s="70"/>
      <c r="G164" s="70">
        <v>-248.49</v>
      </c>
      <c r="H164" s="70">
        <v>-8.89</v>
      </c>
      <c r="I164" s="70">
        <v>12.81</v>
      </c>
      <c r="J164" s="70">
        <v>-0.51</v>
      </c>
      <c r="K164" s="70">
        <v>-14.11</v>
      </c>
      <c r="L164" s="70">
        <v>4.1500000000000004</v>
      </c>
      <c r="M164" s="68">
        <f t="shared" si="2"/>
        <v>248.49</v>
      </c>
    </row>
    <row r="165" spans="1:13" x14ac:dyDescent="0.25">
      <c r="A165" s="70">
        <v>1827</v>
      </c>
      <c r="B165" s="70" t="s">
        <v>229</v>
      </c>
      <c r="C165" s="70">
        <v>0</v>
      </c>
      <c r="D165" s="70" t="s">
        <v>1263</v>
      </c>
      <c r="E165" s="70">
        <v>4</v>
      </c>
      <c r="F165" s="70"/>
      <c r="G165" s="70">
        <v>391.78</v>
      </c>
      <c r="H165" s="70">
        <v>-7.35</v>
      </c>
      <c r="I165" s="70">
        <v>12.68</v>
      </c>
      <c r="J165" s="70">
        <v>-0.33</v>
      </c>
      <c r="K165" s="70">
        <v>4.63</v>
      </c>
      <c r="L165" s="70">
        <v>3.23</v>
      </c>
      <c r="M165" s="68">
        <f t="shared" si="2"/>
        <v>-391.78</v>
      </c>
    </row>
    <row r="166" spans="1:13" x14ac:dyDescent="0.25">
      <c r="A166" s="70">
        <v>1801</v>
      </c>
      <c r="B166" s="70" t="s">
        <v>229</v>
      </c>
      <c r="C166" s="70">
        <v>0</v>
      </c>
      <c r="D166" s="70" t="s">
        <v>1215</v>
      </c>
      <c r="E166" s="70">
        <v>4</v>
      </c>
      <c r="F166" s="70"/>
      <c r="G166" s="70">
        <v>423.48</v>
      </c>
      <c r="H166" s="70">
        <v>-7.33</v>
      </c>
      <c r="I166" s="70">
        <v>12.66</v>
      </c>
      <c r="J166" s="70">
        <v>-0.42</v>
      </c>
      <c r="K166" s="70">
        <v>12.09</v>
      </c>
      <c r="L166" s="70">
        <v>3.99</v>
      </c>
      <c r="M166" s="68">
        <f t="shared" si="2"/>
        <v>-423.48</v>
      </c>
    </row>
    <row r="167" spans="1:13" x14ac:dyDescent="0.25">
      <c r="A167" s="70">
        <v>2357</v>
      </c>
      <c r="B167" s="70" t="s">
        <v>229</v>
      </c>
      <c r="C167" s="70">
        <v>0</v>
      </c>
      <c r="D167" s="70" t="s">
        <v>1798</v>
      </c>
      <c r="E167" s="70">
        <v>0</v>
      </c>
      <c r="F167" s="70"/>
      <c r="G167" s="70">
        <v>-52.81</v>
      </c>
      <c r="H167" s="70">
        <v>-8.17</v>
      </c>
      <c r="I167" s="70">
        <v>12.58</v>
      </c>
      <c r="J167" s="70">
        <v>-0.56999999999999995</v>
      </c>
      <c r="K167" s="70">
        <v>-6.35</v>
      </c>
      <c r="L167" s="70">
        <v>-4.2</v>
      </c>
      <c r="M167" s="68">
        <f t="shared" si="2"/>
        <v>52.81</v>
      </c>
    </row>
    <row r="168" spans="1:13" x14ac:dyDescent="0.25">
      <c r="A168" s="70">
        <v>2379</v>
      </c>
      <c r="B168" s="70" t="s">
        <v>229</v>
      </c>
      <c r="C168" s="70">
        <v>0</v>
      </c>
      <c r="D168" s="70" t="s">
        <v>1839</v>
      </c>
      <c r="E168" s="70">
        <v>4</v>
      </c>
      <c r="F168" s="70"/>
      <c r="G168" s="70">
        <v>391.22</v>
      </c>
      <c r="H168" s="70">
        <v>-7.3</v>
      </c>
      <c r="I168" s="70">
        <v>12.56</v>
      </c>
      <c r="J168" s="70">
        <v>-0.33</v>
      </c>
      <c r="K168" s="70">
        <v>4.7</v>
      </c>
      <c r="L168" s="70">
        <v>3.21</v>
      </c>
      <c r="M168" s="68">
        <f t="shared" si="2"/>
        <v>-391.22</v>
      </c>
    </row>
    <row r="169" spans="1:13" x14ac:dyDescent="0.25">
      <c r="A169" s="70">
        <v>2419</v>
      </c>
      <c r="B169" s="70" t="s">
        <v>229</v>
      </c>
      <c r="C169" s="70">
        <v>0</v>
      </c>
      <c r="D169" s="70" t="s">
        <v>1857</v>
      </c>
      <c r="E169" s="70">
        <v>4</v>
      </c>
      <c r="F169" s="70"/>
      <c r="G169" s="70">
        <v>324.45</v>
      </c>
      <c r="H169" s="70">
        <v>-6.74</v>
      </c>
      <c r="I169" s="70">
        <v>12.53</v>
      </c>
      <c r="J169" s="70">
        <v>0.23</v>
      </c>
      <c r="K169" s="70">
        <v>5.51</v>
      </c>
      <c r="L169" s="70">
        <v>3.82</v>
      </c>
      <c r="M169" s="68">
        <f t="shared" si="2"/>
        <v>-324.45</v>
      </c>
    </row>
    <row r="170" spans="1:13" x14ac:dyDescent="0.25">
      <c r="A170" s="70">
        <v>2487</v>
      </c>
      <c r="B170" s="70" t="s">
        <v>229</v>
      </c>
      <c r="C170" s="70">
        <v>0</v>
      </c>
      <c r="D170" s="70" t="s">
        <v>1927</v>
      </c>
      <c r="E170" s="70">
        <v>4</v>
      </c>
      <c r="F170" s="70"/>
      <c r="G170" s="70">
        <v>272.76</v>
      </c>
      <c r="H170" s="70">
        <v>-5.86</v>
      </c>
      <c r="I170" s="70">
        <v>12.52</v>
      </c>
      <c r="J170" s="70">
        <v>0.2</v>
      </c>
      <c r="K170" s="70">
        <v>10.61</v>
      </c>
      <c r="L170" s="70">
        <v>3.33</v>
      </c>
      <c r="M170" s="68">
        <f t="shared" si="2"/>
        <v>-272.76</v>
      </c>
    </row>
    <row r="171" spans="1:13" x14ac:dyDescent="0.25">
      <c r="A171" s="70">
        <v>1867</v>
      </c>
      <c r="B171" s="70" t="s">
        <v>229</v>
      </c>
      <c r="C171" s="70">
        <v>0</v>
      </c>
      <c r="D171" s="70" t="s">
        <v>1281</v>
      </c>
      <c r="E171" s="70">
        <v>4</v>
      </c>
      <c r="F171" s="70"/>
      <c r="G171" s="70">
        <v>324.2</v>
      </c>
      <c r="H171" s="70">
        <v>-6.71</v>
      </c>
      <c r="I171" s="70">
        <v>12.4</v>
      </c>
      <c r="J171" s="70">
        <v>0.23</v>
      </c>
      <c r="K171" s="70">
        <v>5.53</v>
      </c>
      <c r="L171" s="70">
        <v>-3.8</v>
      </c>
      <c r="M171" s="68">
        <f t="shared" si="2"/>
        <v>-324.2</v>
      </c>
    </row>
    <row r="172" spans="1:13" x14ac:dyDescent="0.25">
      <c r="A172" s="70">
        <v>2</v>
      </c>
      <c r="B172" s="70" t="s">
        <v>229</v>
      </c>
      <c r="C172" s="70">
        <v>0</v>
      </c>
      <c r="D172" s="70" t="s">
        <v>1096</v>
      </c>
      <c r="E172" s="70">
        <v>0</v>
      </c>
      <c r="F172" s="70"/>
      <c r="G172" s="70">
        <v>-437</v>
      </c>
      <c r="H172" s="70">
        <v>1.88</v>
      </c>
      <c r="I172" s="70">
        <v>12.39</v>
      </c>
      <c r="J172" s="70">
        <v>0.09</v>
      </c>
      <c r="K172" s="70">
        <v>11.36</v>
      </c>
      <c r="L172" s="70">
        <v>0.96</v>
      </c>
      <c r="M172" s="68">
        <f t="shared" si="2"/>
        <v>437</v>
      </c>
    </row>
    <row r="173" spans="1:13" x14ac:dyDescent="0.25">
      <c r="A173" s="70">
        <v>2491</v>
      </c>
      <c r="B173" s="70" t="s">
        <v>229</v>
      </c>
      <c r="C173" s="70">
        <v>0</v>
      </c>
      <c r="D173" s="70" t="s">
        <v>1935</v>
      </c>
      <c r="E173" s="70">
        <v>4</v>
      </c>
      <c r="F173" s="70"/>
      <c r="G173" s="70">
        <v>424.27</v>
      </c>
      <c r="H173" s="70">
        <v>-7.38</v>
      </c>
      <c r="I173" s="70">
        <v>12.38</v>
      </c>
      <c r="J173" s="70">
        <v>-0.42</v>
      </c>
      <c r="K173" s="70">
        <v>12.2</v>
      </c>
      <c r="L173" s="70">
        <v>4.01</v>
      </c>
      <c r="M173" s="68">
        <f t="shared" si="2"/>
        <v>-424.27</v>
      </c>
    </row>
    <row r="174" spans="1:13" x14ac:dyDescent="0.25">
      <c r="A174" s="70">
        <v>1875</v>
      </c>
      <c r="B174" s="70" t="s">
        <v>229</v>
      </c>
      <c r="C174" s="70">
        <v>0</v>
      </c>
      <c r="D174" s="70" t="s">
        <v>1296</v>
      </c>
      <c r="E174" s="70">
        <v>0</v>
      </c>
      <c r="F174" s="70"/>
      <c r="G174" s="70">
        <v>-254.55</v>
      </c>
      <c r="H174" s="70">
        <v>-8.92</v>
      </c>
      <c r="I174" s="70">
        <v>12.37</v>
      </c>
      <c r="J174" s="70">
        <v>-0.51</v>
      </c>
      <c r="K174" s="70">
        <v>-12.56</v>
      </c>
      <c r="L174" s="70">
        <v>-4.7</v>
      </c>
      <c r="M174" s="68">
        <f t="shared" si="2"/>
        <v>254.55</v>
      </c>
    </row>
    <row r="175" spans="1:13" x14ac:dyDescent="0.25">
      <c r="A175" s="70">
        <v>2489</v>
      </c>
      <c r="B175" s="70" t="s">
        <v>229</v>
      </c>
      <c r="C175" s="70">
        <v>0</v>
      </c>
      <c r="D175" s="70" t="s">
        <v>1931</v>
      </c>
      <c r="E175" s="70">
        <v>4</v>
      </c>
      <c r="F175" s="70"/>
      <c r="G175" s="70">
        <v>361.47</v>
      </c>
      <c r="H175" s="70">
        <v>-7.16</v>
      </c>
      <c r="I175" s="70">
        <v>12.3</v>
      </c>
      <c r="J175" s="70">
        <v>-0.27</v>
      </c>
      <c r="K175" s="70">
        <v>5.31</v>
      </c>
      <c r="L175" s="70">
        <v>4.03</v>
      </c>
      <c r="M175" s="68">
        <f t="shared" si="2"/>
        <v>-361.47</v>
      </c>
    </row>
    <row r="176" spans="1:13" x14ac:dyDescent="0.25">
      <c r="A176" s="70">
        <v>2149</v>
      </c>
      <c r="B176" s="70" t="s">
        <v>229</v>
      </c>
      <c r="C176" s="70">
        <v>0</v>
      </c>
      <c r="D176" s="70" t="s">
        <v>1581</v>
      </c>
      <c r="E176" s="70">
        <v>4</v>
      </c>
      <c r="F176" s="70"/>
      <c r="G176" s="70">
        <v>173.13</v>
      </c>
      <c r="H176" s="70">
        <v>-7.65</v>
      </c>
      <c r="I176" s="70">
        <v>12.28</v>
      </c>
      <c r="J176" s="70">
        <v>-0.6</v>
      </c>
      <c r="K176" s="70">
        <v>-2.46</v>
      </c>
      <c r="L176" s="70">
        <v>3.79</v>
      </c>
      <c r="M176" s="68">
        <f t="shared" si="2"/>
        <v>-173.13</v>
      </c>
    </row>
    <row r="177" spans="1:13" x14ac:dyDescent="0.25">
      <c r="A177" s="70">
        <v>1799</v>
      </c>
      <c r="B177" s="70" t="s">
        <v>229</v>
      </c>
      <c r="C177" s="70">
        <v>0</v>
      </c>
      <c r="D177" s="70" t="s">
        <v>1211</v>
      </c>
      <c r="E177" s="70">
        <v>4</v>
      </c>
      <c r="F177" s="70"/>
      <c r="G177" s="70">
        <v>361.05</v>
      </c>
      <c r="H177" s="70">
        <v>7.19</v>
      </c>
      <c r="I177" s="70">
        <v>12.27</v>
      </c>
      <c r="J177" s="70">
        <v>0.27</v>
      </c>
      <c r="K177" s="70">
        <v>5.28</v>
      </c>
      <c r="L177" s="70">
        <v>-4.03</v>
      </c>
      <c r="M177" s="68">
        <f t="shared" si="2"/>
        <v>-361.05</v>
      </c>
    </row>
    <row r="178" spans="1:13" x14ac:dyDescent="0.25">
      <c r="A178" s="70">
        <v>2452</v>
      </c>
      <c r="B178" s="70" t="s">
        <v>229</v>
      </c>
      <c r="C178" s="70">
        <v>0</v>
      </c>
      <c r="D178" s="70" t="s">
        <v>1919</v>
      </c>
      <c r="E178" s="70">
        <v>4</v>
      </c>
      <c r="F178" s="70"/>
      <c r="G178" s="70">
        <v>154.78</v>
      </c>
      <c r="H178" s="70">
        <v>4.6100000000000003</v>
      </c>
      <c r="I178" s="70">
        <v>12.25</v>
      </c>
      <c r="J178" s="70">
        <v>0.17</v>
      </c>
      <c r="K178" s="70">
        <v>12.01</v>
      </c>
      <c r="L178" s="70">
        <v>1.99</v>
      </c>
      <c r="M178" s="68">
        <f t="shared" si="2"/>
        <v>-154.78</v>
      </c>
    </row>
    <row r="179" spans="1:13" x14ac:dyDescent="0.25">
      <c r="A179" s="70">
        <v>1797</v>
      </c>
      <c r="B179" s="70" t="s">
        <v>229</v>
      </c>
      <c r="C179" s="70">
        <v>0</v>
      </c>
      <c r="D179" s="70" t="s">
        <v>1207</v>
      </c>
      <c r="E179" s="70">
        <v>4</v>
      </c>
      <c r="F179" s="70"/>
      <c r="G179" s="70">
        <v>272.51</v>
      </c>
      <c r="H179" s="70">
        <v>-5.83</v>
      </c>
      <c r="I179" s="70">
        <v>12.24</v>
      </c>
      <c r="J179" s="70">
        <v>0.2</v>
      </c>
      <c r="K179" s="70">
        <v>10.67</v>
      </c>
      <c r="L179" s="70">
        <v>3.31</v>
      </c>
      <c r="M179" s="68">
        <f t="shared" si="2"/>
        <v>-272.51</v>
      </c>
    </row>
    <row r="180" spans="1:13" x14ac:dyDescent="0.25">
      <c r="A180" s="70">
        <v>1757</v>
      </c>
      <c r="B180" s="70" t="s">
        <v>229</v>
      </c>
      <c r="C180" s="70">
        <v>0</v>
      </c>
      <c r="D180" s="70" t="s">
        <v>1188</v>
      </c>
      <c r="E180" s="70">
        <v>0</v>
      </c>
      <c r="F180" s="70"/>
      <c r="G180" s="70">
        <v>420.99</v>
      </c>
      <c r="H180" s="70">
        <v>-7.4</v>
      </c>
      <c r="I180" s="70">
        <v>12.22</v>
      </c>
      <c r="J180" s="70">
        <v>-0.41</v>
      </c>
      <c r="K180" s="70">
        <v>11.7</v>
      </c>
      <c r="L180" s="70">
        <v>-4.0199999999999996</v>
      </c>
      <c r="M180" s="68">
        <f t="shared" si="2"/>
        <v>-420.99</v>
      </c>
    </row>
    <row r="181" spans="1:13" x14ac:dyDescent="0.25">
      <c r="A181" s="70">
        <v>2506</v>
      </c>
      <c r="B181" s="70" t="s">
        <v>229</v>
      </c>
      <c r="C181" s="70">
        <v>0</v>
      </c>
      <c r="D181" s="70" t="s">
        <v>1960</v>
      </c>
      <c r="E181" s="70">
        <v>0</v>
      </c>
      <c r="F181" s="70"/>
      <c r="G181" s="70">
        <v>-435.3</v>
      </c>
      <c r="H181" s="70">
        <v>1.87</v>
      </c>
      <c r="I181" s="70">
        <v>12.22</v>
      </c>
      <c r="J181" s="70">
        <v>0.09</v>
      </c>
      <c r="K181" s="70">
        <v>11.19</v>
      </c>
      <c r="L181" s="70">
        <v>-0.96</v>
      </c>
      <c r="M181" s="68">
        <f t="shared" si="2"/>
        <v>435.3</v>
      </c>
    </row>
    <row r="182" spans="1:13" x14ac:dyDescent="0.25">
      <c r="A182" s="70">
        <v>2427</v>
      </c>
      <c r="B182" s="70" t="s">
        <v>229</v>
      </c>
      <c r="C182" s="70">
        <v>0</v>
      </c>
      <c r="D182" s="70" t="s">
        <v>1872</v>
      </c>
      <c r="E182" s="70">
        <v>0</v>
      </c>
      <c r="F182" s="70"/>
      <c r="G182" s="70">
        <v>-256.08999999999997</v>
      </c>
      <c r="H182" s="70">
        <v>-8.8800000000000008</v>
      </c>
      <c r="I182" s="70">
        <v>12.17</v>
      </c>
      <c r="J182" s="70">
        <v>-0.51</v>
      </c>
      <c r="K182" s="70">
        <v>-12.69</v>
      </c>
      <c r="L182" s="70">
        <v>-4.68</v>
      </c>
      <c r="M182" s="68">
        <f t="shared" si="2"/>
        <v>256.08999999999997</v>
      </c>
    </row>
    <row r="183" spans="1:13" x14ac:dyDescent="0.25">
      <c r="A183" s="70">
        <v>63</v>
      </c>
      <c r="B183" s="70" t="s">
        <v>229</v>
      </c>
      <c r="C183" s="70">
        <v>0</v>
      </c>
      <c r="D183" s="70" t="s">
        <v>1153</v>
      </c>
      <c r="E183" s="70">
        <v>4</v>
      </c>
      <c r="F183" s="70"/>
      <c r="G183" s="70">
        <v>-133.30000000000001</v>
      </c>
      <c r="H183" s="70">
        <v>-2.14</v>
      </c>
      <c r="I183" s="70">
        <v>12.14</v>
      </c>
      <c r="J183" s="70">
        <v>-0.18</v>
      </c>
      <c r="K183" s="70">
        <v>-9.4600000000000009</v>
      </c>
      <c r="L183" s="70">
        <v>1.03</v>
      </c>
      <c r="M183" s="68">
        <f t="shared" si="2"/>
        <v>133.30000000000001</v>
      </c>
    </row>
    <row r="184" spans="1:13" x14ac:dyDescent="0.25">
      <c r="A184" s="70">
        <v>2498</v>
      </c>
      <c r="B184" s="70" t="s">
        <v>229</v>
      </c>
      <c r="C184" s="70">
        <v>0</v>
      </c>
      <c r="D184" s="70" t="s">
        <v>1949</v>
      </c>
      <c r="E184" s="70">
        <v>4</v>
      </c>
      <c r="F184" s="70"/>
      <c r="G184" s="70">
        <v>-582.74</v>
      </c>
      <c r="H184" s="70">
        <v>10.83</v>
      </c>
      <c r="I184" s="70">
        <v>12.02</v>
      </c>
      <c r="J184" s="70">
        <v>0.33</v>
      </c>
      <c r="K184" s="70">
        <v>-15.31</v>
      </c>
      <c r="L184" s="70">
        <v>-5.0599999999999996</v>
      </c>
      <c r="M184" s="68">
        <f t="shared" si="2"/>
        <v>582.74</v>
      </c>
    </row>
    <row r="185" spans="1:13" x14ac:dyDescent="0.25">
      <c r="A185" s="70">
        <v>2565</v>
      </c>
      <c r="B185" s="70" t="s">
        <v>229</v>
      </c>
      <c r="C185" s="70">
        <v>0</v>
      </c>
      <c r="D185" s="70" t="s">
        <v>2017</v>
      </c>
      <c r="E185" s="70">
        <v>4</v>
      </c>
      <c r="F185" s="70"/>
      <c r="G185" s="70">
        <v>-134.08000000000001</v>
      </c>
      <c r="H185" s="70">
        <v>-2.13</v>
      </c>
      <c r="I185" s="70">
        <v>12</v>
      </c>
      <c r="J185" s="70">
        <v>-0.18</v>
      </c>
      <c r="K185" s="70">
        <v>-9.49</v>
      </c>
      <c r="L185" s="70">
        <v>1.02</v>
      </c>
      <c r="M185" s="68">
        <f t="shared" si="2"/>
        <v>134.08000000000001</v>
      </c>
    </row>
    <row r="186" spans="1:13" x14ac:dyDescent="0.25">
      <c r="A186" s="70">
        <v>1808</v>
      </c>
      <c r="B186" s="70" t="s">
        <v>229</v>
      </c>
      <c r="C186" s="70">
        <v>0</v>
      </c>
      <c r="D186" s="70" t="s">
        <v>1229</v>
      </c>
      <c r="E186" s="70">
        <v>4</v>
      </c>
      <c r="F186" s="70"/>
      <c r="G186" s="70">
        <v>-581.41999999999996</v>
      </c>
      <c r="H186" s="70">
        <v>-10.88</v>
      </c>
      <c r="I186" s="70">
        <v>11.99</v>
      </c>
      <c r="J186" s="70">
        <v>0.33</v>
      </c>
      <c r="K186" s="70">
        <v>-15.3</v>
      </c>
      <c r="L186" s="70">
        <v>5.07</v>
      </c>
      <c r="M186" s="68">
        <f t="shared" si="2"/>
        <v>581.41999999999996</v>
      </c>
    </row>
    <row r="187" spans="1:13" x14ac:dyDescent="0.25">
      <c r="A187" s="70">
        <v>1820</v>
      </c>
      <c r="B187" s="70" t="s">
        <v>229</v>
      </c>
      <c r="C187" s="70">
        <v>0</v>
      </c>
      <c r="D187" s="70" t="s">
        <v>1249</v>
      </c>
      <c r="E187" s="70">
        <v>4</v>
      </c>
      <c r="F187" s="70"/>
      <c r="G187" s="70">
        <v>-434.93</v>
      </c>
      <c r="H187" s="70">
        <v>-9.81</v>
      </c>
      <c r="I187" s="70">
        <v>11.91</v>
      </c>
      <c r="J187" s="70">
        <v>-0.41</v>
      </c>
      <c r="K187" s="70">
        <v>-15.38</v>
      </c>
      <c r="L187" s="70">
        <v>5.2</v>
      </c>
      <c r="M187" s="68">
        <f t="shared" si="2"/>
        <v>434.93</v>
      </c>
    </row>
    <row r="188" spans="1:13" x14ac:dyDescent="0.25">
      <c r="A188" s="70">
        <v>2369</v>
      </c>
      <c r="B188" s="70" t="s">
        <v>229</v>
      </c>
      <c r="C188" s="70">
        <v>0</v>
      </c>
      <c r="D188" s="70" t="s">
        <v>1819</v>
      </c>
      <c r="E188" s="70">
        <v>4</v>
      </c>
      <c r="F188" s="70"/>
      <c r="G188" s="70">
        <v>-765.5</v>
      </c>
      <c r="H188" s="70">
        <v>-10.57</v>
      </c>
      <c r="I188" s="70">
        <v>11.84</v>
      </c>
      <c r="J188" s="70">
        <v>0.3</v>
      </c>
      <c r="K188" s="70">
        <v>-10.73</v>
      </c>
      <c r="L188" s="70">
        <v>5.35</v>
      </c>
      <c r="M188" s="68">
        <f t="shared" si="2"/>
        <v>765.5</v>
      </c>
    </row>
    <row r="189" spans="1:13" x14ac:dyDescent="0.25">
      <c r="A189" s="70">
        <v>2372</v>
      </c>
      <c r="B189" s="70" t="s">
        <v>229</v>
      </c>
      <c r="C189" s="70">
        <v>0</v>
      </c>
      <c r="D189" s="70" t="s">
        <v>1825</v>
      </c>
      <c r="E189" s="70">
        <v>4</v>
      </c>
      <c r="F189" s="70"/>
      <c r="G189" s="70">
        <v>-433.01</v>
      </c>
      <c r="H189" s="70">
        <v>-9.86</v>
      </c>
      <c r="I189" s="70">
        <v>11.84</v>
      </c>
      <c r="J189" s="70">
        <v>-0.41</v>
      </c>
      <c r="K189" s="70">
        <v>-15.47</v>
      </c>
      <c r="L189" s="70">
        <v>5.23</v>
      </c>
      <c r="M189" s="68">
        <f t="shared" si="2"/>
        <v>433.01</v>
      </c>
    </row>
    <row r="190" spans="1:13" x14ac:dyDescent="0.25">
      <c r="A190" s="70">
        <v>1762</v>
      </c>
      <c r="B190" s="70" t="s">
        <v>229</v>
      </c>
      <c r="C190" s="70">
        <v>0</v>
      </c>
      <c r="D190" s="70" t="s">
        <v>1199</v>
      </c>
      <c r="E190" s="70">
        <v>4</v>
      </c>
      <c r="F190" s="70"/>
      <c r="G190" s="70">
        <v>155.88999999999999</v>
      </c>
      <c r="H190" s="70">
        <v>4.59</v>
      </c>
      <c r="I190" s="70">
        <v>11.83</v>
      </c>
      <c r="J190" s="70">
        <v>0.17</v>
      </c>
      <c r="K190" s="70">
        <v>11.96</v>
      </c>
      <c r="L190" s="70">
        <v>1.99</v>
      </c>
      <c r="M190" s="68">
        <f t="shared" si="2"/>
        <v>-155.88999999999999</v>
      </c>
    </row>
    <row r="191" spans="1:13" x14ac:dyDescent="0.25">
      <c r="A191" s="70">
        <v>1817</v>
      </c>
      <c r="B191" s="70" t="s">
        <v>229</v>
      </c>
      <c r="C191" s="70">
        <v>0</v>
      </c>
      <c r="D191" s="70" t="s">
        <v>1243</v>
      </c>
      <c r="E191" s="70">
        <v>4</v>
      </c>
      <c r="F191" s="70"/>
      <c r="G191" s="70">
        <v>-767.18</v>
      </c>
      <c r="H191" s="70">
        <v>10.56</v>
      </c>
      <c r="I191" s="70">
        <v>11.82</v>
      </c>
      <c r="J191" s="70">
        <v>0.3</v>
      </c>
      <c r="K191" s="70">
        <v>-10.59</v>
      </c>
      <c r="L191" s="70">
        <v>-5.33</v>
      </c>
      <c r="M191" s="68">
        <f t="shared" si="2"/>
        <v>767.18</v>
      </c>
    </row>
    <row r="192" spans="1:13" x14ac:dyDescent="0.25">
      <c r="A192" s="70">
        <v>60</v>
      </c>
      <c r="B192" s="70" t="s">
        <v>229</v>
      </c>
      <c r="C192" s="70">
        <v>0</v>
      </c>
      <c r="D192" s="70" t="s">
        <v>1147</v>
      </c>
      <c r="E192" s="70">
        <v>4</v>
      </c>
      <c r="F192" s="70"/>
      <c r="G192" s="70">
        <v>165.7</v>
      </c>
      <c r="H192" s="70">
        <v>-1.77</v>
      </c>
      <c r="I192" s="70">
        <v>11.6</v>
      </c>
      <c r="J192" s="70">
        <v>-0.19</v>
      </c>
      <c r="K192" s="70">
        <v>7.35</v>
      </c>
      <c r="L192" s="70">
        <v>0.89</v>
      </c>
      <c r="M192" s="68">
        <f t="shared" si="2"/>
        <v>-165.7</v>
      </c>
    </row>
    <row r="193" spans="1:13" x14ac:dyDescent="0.25">
      <c r="A193" s="70">
        <v>1940</v>
      </c>
      <c r="B193" s="70" t="s">
        <v>229</v>
      </c>
      <c r="C193" s="70">
        <v>0</v>
      </c>
      <c r="D193" s="70" t="s">
        <v>1361</v>
      </c>
      <c r="E193" s="70">
        <v>4</v>
      </c>
      <c r="F193" s="70"/>
      <c r="G193" s="70">
        <v>409.46</v>
      </c>
      <c r="H193" s="70">
        <v>-7.34</v>
      </c>
      <c r="I193" s="70">
        <v>11.58</v>
      </c>
      <c r="J193" s="70">
        <v>-0.5</v>
      </c>
      <c r="K193" s="70">
        <v>10.63</v>
      </c>
      <c r="L193" s="70">
        <v>3.9</v>
      </c>
      <c r="M193" s="68">
        <f t="shared" si="2"/>
        <v>-409.46</v>
      </c>
    </row>
    <row r="194" spans="1:13" x14ac:dyDescent="0.25">
      <c r="A194" s="70">
        <v>2370</v>
      </c>
      <c r="B194" s="70" t="s">
        <v>229</v>
      </c>
      <c r="C194" s="70">
        <v>0</v>
      </c>
      <c r="D194" s="70" t="s">
        <v>1821</v>
      </c>
      <c r="E194" s="70">
        <v>4</v>
      </c>
      <c r="F194" s="70"/>
      <c r="G194" s="70">
        <v>-678.74</v>
      </c>
      <c r="H194" s="70">
        <v>-11.34</v>
      </c>
      <c r="I194" s="70">
        <v>11.57</v>
      </c>
      <c r="J194" s="70">
        <v>0.3</v>
      </c>
      <c r="K194" s="70">
        <v>-13.4</v>
      </c>
      <c r="L194" s="70">
        <v>5.89</v>
      </c>
      <c r="M194" s="68">
        <f t="shared" ref="M194:M257" si="3">G194*-1</f>
        <v>678.74</v>
      </c>
    </row>
    <row r="195" spans="1:13" x14ac:dyDescent="0.25">
      <c r="A195" s="70">
        <v>61</v>
      </c>
      <c r="B195" s="70" t="s">
        <v>229</v>
      </c>
      <c r="C195" s="70">
        <v>0</v>
      </c>
      <c r="D195" s="70" t="s">
        <v>1148</v>
      </c>
      <c r="E195" s="70">
        <v>0</v>
      </c>
      <c r="F195" s="70"/>
      <c r="G195" s="70">
        <v>87.91</v>
      </c>
      <c r="H195" s="70">
        <v>-1.83</v>
      </c>
      <c r="I195" s="70">
        <v>11.51</v>
      </c>
      <c r="J195" s="70">
        <v>-0.21</v>
      </c>
      <c r="K195" s="70">
        <v>7.86</v>
      </c>
      <c r="L195" s="70">
        <v>-0.91</v>
      </c>
      <c r="M195" s="68">
        <f t="shared" si="3"/>
        <v>-87.91</v>
      </c>
    </row>
    <row r="196" spans="1:13" x14ac:dyDescent="0.25">
      <c r="A196" s="70">
        <v>1893</v>
      </c>
      <c r="B196" s="70" t="s">
        <v>229</v>
      </c>
      <c r="C196" s="70">
        <v>0</v>
      </c>
      <c r="D196" s="70" t="s">
        <v>1329</v>
      </c>
      <c r="E196" s="70">
        <v>4</v>
      </c>
      <c r="F196" s="70"/>
      <c r="G196" s="70">
        <v>323.57</v>
      </c>
      <c r="H196" s="70">
        <v>-7.38</v>
      </c>
      <c r="I196" s="70">
        <v>11.5</v>
      </c>
      <c r="J196" s="70">
        <v>-0.55000000000000004</v>
      </c>
      <c r="K196" s="70">
        <v>11.96</v>
      </c>
      <c r="L196" s="70">
        <v>3.56</v>
      </c>
      <c r="M196" s="68">
        <f t="shared" si="3"/>
        <v>-323.57</v>
      </c>
    </row>
    <row r="197" spans="1:13" x14ac:dyDescent="0.25">
      <c r="A197" s="70">
        <v>1964</v>
      </c>
      <c r="B197" s="70" t="s">
        <v>229</v>
      </c>
      <c r="C197" s="70">
        <v>0</v>
      </c>
      <c r="D197" s="70" t="s">
        <v>1405</v>
      </c>
      <c r="E197" s="70">
        <v>4</v>
      </c>
      <c r="F197" s="70"/>
      <c r="G197" s="70">
        <v>413.31</v>
      </c>
      <c r="H197" s="70">
        <v>-7.39</v>
      </c>
      <c r="I197" s="70">
        <v>11.48</v>
      </c>
      <c r="J197" s="70">
        <v>-0.41</v>
      </c>
      <c r="K197" s="70">
        <v>4.9800000000000004</v>
      </c>
      <c r="L197" s="70">
        <v>3.32</v>
      </c>
      <c r="M197" s="68">
        <f t="shared" si="3"/>
        <v>-413.31</v>
      </c>
    </row>
    <row r="198" spans="1:13" x14ac:dyDescent="0.25">
      <c r="A198" s="70">
        <v>2418</v>
      </c>
      <c r="B198" s="70" t="s">
        <v>229</v>
      </c>
      <c r="C198" s="70">
        <v>0</v>
      </c>
      <c r="D198" s="70" t="s">
        <v>1855</v>
      </c>
      <c r="E198" s="70">
        <v>4</v>
      </c>
      <c r="F198" s="70"/>
      <c r="G198" s="70">
        <v>270.75</v>
      </c>
      <c r="H198" s="70">
        <v>-5.86</v>
      </c>
      <c r="I198" s="70">
        <v>11.4</v>
      </c>
      <c r="J198" s="70">
        <v>0.2</v>
      </c>
      <c r="K198" s="70">
        <v>10.46</v>
      </c>
      <c r="L198" s="70">
        <v>3.33</v>
      </c>
      <c r="M198" s="68">
        <f t="shared" si="3"/>
        <v>-270.75</v>
      </c>
    </row>
    <row r="199" spans="1:13" x14ac:dyDescent="0.25">
      <c r="A199" s="70">
        <v>1945</v>
      </c>
      <c r="B199" s="70" t="s">
        <v>229</v>
      </c>
      <c r="C199" s="70">
        <v>0</v>
      </c>
      <c r="D199" s="70" t="s">
        <v>1371</v>
      </c>
      <c r="E199" s="70">
        <v>4</v>
      </c>
      <c r="F199" s="70"/>
      <c r="G199" s="70">
        <v>-427.85</v>
      </c>
      <c r="H199" s="70">
        <v>-9.85</v>
      </c>
      <c r="I199" s="70">
        <v>11.39</v>
      </c>
      <c r="J199" s="70">
        <v>-0.41</v>
      </c>
      <c r="K199" s="70">
        <v>-15.43</v>
      </c>
      <c r="L199" s="70">
        <v>4.59</v>
      </c>
      <c r="M199" s="68">
        <f t="shared" si="3"/>
        <v>427.85</v>
      </c>
    </row>
    <row r="200" spans="1:13" x14ac:dyDescent="0.25">
      <c r="A200" s="70">
        <v>2240</v>
      </c>
      <c r="B200" s="70" t="s">
        <v>229</v>
      </c>
      <c r="C200" s="70">
        <v>0</v>
      </c>
      <c r="D200" s="70" t="s">
        <v>1693</v>
      </c>
      <c r="E200" s="70">
        <v>4</v>
      </c>
      <c r="F200" s="70"/>
      <c r="G200" s="70">
        <v>412.77</v>
      </c>
      <c r="H200" s="70">
        <v>-7.36</v>
      </c>
      <c r="I200" s="70">
        <v>11.36</v>
      </c>
      <c r="J200" s="70">
        <v>-0.41</v>
      </c>
      <c r="K200" s="70">
        <v>5.0199999999999996</v>
      </c>
      <c r="L200" s="70">
        <v>3.31</v>
      </c>
      <c r="M200" s="68">
        <f t="shared" si="3"/>
        <v>-412.77</v>
      </c>
    </row>
    <row r="201" spans="1:13" x14ac:dyDescent="0.25">
      <c r="A201" s="70">
        <v>2354</v>
      </c>
      <c r="B201" s="70" t="s">
        <v>229</v>
      </c>
      <c r="C201" s="70">
        <v>0</v>
      </c>
      <c r="D201" s="70" t="s">
        <v>1793</v>
      </c>
      <c r="E201" s="70">
        <v>4</v>
      </c>
      <c r="F201" s="70"/>
      <c r="G201" s="70">
        <v>410.23</v>
      </c>
      <c r="H201" s="70">
        <v>-7.37</v>
      </c>
      <c r="I201" s="70">
        <v>11.36</v>
      </c>
      <c r="J201" s="70">
        <v>-0.5</v>
      </c>
      <c r="K201" s="70">
        <v>10.71</v>
      </c>
      <c r="L201" s="70">
        <v>3.92</v>
      </c>
      <c r="M201" s="68">
        <f t="shared" si="3"/>
        <v>-410.23</v>
      </c>
    </row>
    <row r="202" spans="1:13" x14ac:dyDescent="0.25">
      <c r="A202" s="70">
        <v>2359</v>
      </c>
      <c r="B202" s="70" t="s">
        <v>229</v>
      </c>
      <c r="C202" s="70">
        <v>0</v>
      </c>
      <c r="D202" s="70" t="s">
        <v>1803</v>
      </c>
      <c r="E202" s="70">
        <v>4</v>
      </c>
      <c r="F202" s="70"/>
      <c r="G202" s="70">
        <v>-429.62</v>
      </c>
      <c r="H202" s="70">
        <v>-9.81</v>
      </c>
      <c r="I202" s="70">
        <v>11.35</v>
      </c>
      <c r="J202" s="70">
        <v>-0.4</v>
      </c>
      <c r="K202" s="70">
        <v>-15.51</v>
      </c>
      <c r="L202" s="70">
        <v>4.57</v>
      </c>
      <c r="M202" s="68">
        <f t="shared" si="3"/>
        <v>429.62</v>
      </c>
    </row>
    <row r="203" spans="1:13" x14ac:dyDescent="0.25">
      <c r="A203" s="70">
        <v>2562</v>
      </c>
      <c r="B203" s="70" t="s">
        <v>229</v>
      </c>
      <c r="C203" s="70">
        <v>0</v>
      </c>
      <c r="D203" s="70" t="s">
        <v>2011</v>
      </c>
      <c r="E203" s="70">
        <v>4</v>
      </c>
      <c r="F203" s="70"/>
      <c r="G203" s="70">
        <v>166.36</v>
      </c>
      <c r="H203" s="70">
        <v>-1.77</v>
      </c>
      <c r="I203" s="70">
        <v>11.35</v>
      </c>
      <c r="J203" s="70">
        <v>-0.19</v>
      </c>
      <c r="K203" s="70">
        <v>7.46</v>
      </c>
      <c r="L203" s="70">
        <v>0.9</v>
      </c>
      <c r="M203" s="68">
        <f t="shared" si="3"/>
        <v>-166.36</v>
      </c>
    </row>
    <row r="204" spans="1:13" x14ac:dyDescent="0.25">
      <c r="A204" s="70">
        <v>1818</v>
      </c>
      <c r="B204" s="70" t="s">
        <v>229</v>
      </c>
      <c r="C204" s="70">
        <v>0</v>
      </c>
      <c r="D204" s="70" t="s">
        <v>1245</v>
      </c>
      <c r="E204" s="70">
        <v>4</v>
      </c>
      <c r="F204" s="70"/>
      <c r="G204" s="70">
        <v>-679.24</v>
      </c>
      <c r="H204" s="70">
        <v>11.3</v>
      </c>
      <c r="I204" s="70">
        <v>11.33</v>
      </c>
      <c r="J204" s="70">
        <v>0.31</v>
      </c>
      <c r="K204" s="70">
        <v>-13.28</v>
      </c>
      <c r="L204" s="70">
        <v>5.86</v>
      </c>
      <c r="M204" s="68">
        <f t="shared" si="3"/>
        <v>679.24</v>
      </c>
    </row>
    <row r="205" spans="1:13" x14ac:dyDescent="0.25">
      <c r="A205" s="70">
        <v>2350</v>
      </c>
      <c r="B205" s="70" t="s">
        <v>229</v>
      </c>
      <c r="C205" s="70">
        <v>0</v>
      </c>
      <c r="D205" s="70" t="s">
        <v>1785</v>
      </c>
      <c r="E205" s="70">
        <v>4</v>
      </c>
      <c r="F205" s="70"/>
      <c r="G205" s="70">
        <v>322.61</v>
      </c>
      <c r="H205" s="70">
        <v>-6.74</v>
      </c>
      <c r="I205" s="70">
        <v>11.33</v>
      </c>
      <c r="J205" s="70">
        <v>0.23</v>
      </c>
      <c r="K205" s="70">
        <v>4.88</v>
      </c>
      <c r="L205" s="70">
        <v>3.82</v>
      </c>
      <c r="M205" s="68">
        <f t="shared" si="3"/>
        <v>-322.61</v>
      </c>
    </row>
    <row r="206" spans="1:13" x14ac:dyDescent="0.25">
      <c r="A206" s="70">
        <v>2150</v>
      </c>
      <c r="B206" s="70" t="s">
        <v>229</v>
      </c>
      <c r="C206" s="70">
        <v>0</v>
      </c>
      <c r="D206" s="70" t="s">
        <v>1583</v>
      </c>
      <c r="E206" s="70">
        <v>4</v>
      </c>
      <c r="F206" s="70"/>
      <c r="G206" s="70">
        <v>-46.62</v>
      </c>
      <c r="H206" s="70">
        <v>-8.19</v>
      </c>
      <c r="I206" s="70">
        <v>11.28</v>
      </c>
      <c r="J206" s="70">
        <v>-0.56999999999999995</v>
      </c>
      <c r="K206" s="70">
        <v>-8.69</v>
      </c>
      <c r="L206" s="70">
        <v>3.91</v>
      </c>
      <c r="M206" s="68">
        <f t="shared" si="3"/>
        <v>46.62</v>
      </c>
    </row>
    <row r="207" spans="1:13" x14ac:dyDescent="0.25">
      <c r="A207" s="70">
        <v>2563</v>
      </c>
      <c r="B207" s="70" t="s">
        <v>229</v>
      </c>
      <c r="C207" s="70">
        <v>0</v>
      </c>
      <c r="D207" s="70" t="s">
        <v>2012</v>
      </c>
      <c r="E207" s="70">
        <v>0</v>
      </c>
      <c r="F207" s="70"/>
      <c r="G207" s="70">
        <v>88.52</v>
      </c>
      <c r="H207" s="70">
        <v>-1.83</v>
      </c>
      <c r="I207" s="70">
        <v>11.26</v>
      </c>
      <c r="J207" s="70">
        <v>-0.21</v>
      </c>
      <c r="K207" s="70">
        <v>7.75</v>
      </c>
      <c r="L207" s="70">
        <v>-0.91</v>
      </c>
      <c r="M207" s="68">
        <f t="shared" si="3"/>
        <v>-88.52</v>
      </c>
    </row>
    <row r="208" spans="1:13" x14ac:dyDescent="0.25">
      <c r="A208" s="70">
        <v>2307</v>
      </c>
      <c r="B208" s="70" t="s">
        <v>229</v>
      </c>
      <c r="C208" s="70">
        <v>0</v>
      </c>
      <c r="D208" s="70" t="s">
        <v>1761</v>
      </c>
      <c r="E208" s="70">
        <v>4</v>
      </c>
      <c r="F208" s="70"/>
      <c r="G208" s="70">
        <v>322.54000000000002</v>
      </c>
      <c r="H208" s="70">
        <v>-7.37</v>
      </c>
      <c r="I208" s="70">
        <v>11.24</v>
      </c>
      <c r="J208" s="70">
        <v>-0.55000000000000004</v>
      </c>
      <c r="K208" s="70">
        <v>12.04</v>
      </c>
      <c r="L208" s="70">
        <v>3.56</v>
      </c>
      <c r="M208" s="68">
        <f t="shared" si="3"/>
        <v>-322.54000000000002</v>
      </c>
    </row>
    <row r="209" spans="1:13" x14ac:dyDescent="0.25">
      <c r="A209" s="70">
        <v>1936</v>
      </c>
      <c r="B209" s="70" t="s">
        <v>229</v>
      </c>
      <c r="C209" s="70">
        <v>0</v>
      </c>
      <c r="D209" s="70" t="s">
        <v>1353</v>
      </c>
      <c r="E209" s="70">
        <v>4</v>
      </c>
      <c r="F209" s="70"/>
      <c r="G209" s="70">
        <v>322.32</v>
      </c>
      <c r="H209" s="70">
        <v>-6.71</v>
      </c>
      <c r="I209" s="70">
        <v>11.22</v>
      </c>
      <c r="J209" s="70">
        <v>0.23</v>
      </c>
      <c r="K209" s="70">
        <v>4.8899999999999997</v>
      </c>
      <c r="L209" s="70">
        <v>-3.8</v>
      </c>
      <c r="M209" s="68">
        <f t="shared" si="3"/>
        <v>-322.32</v>
      </c>
    </row>
    <row r="210" spans="1:13" x14ac:dyDescent="0.25">
      <c r="A210" s="70">
        <v>2383</v>
      </c>
      <c r="B210" s="70" t="s">
        <v>229</v>
      </c>
      <c r="C210" s="70">
        <v>0</v>
      </c>
      <c r="D210" s="70" t="s">
        <v>1847</v>
      </c>
      <c r="E210" s="70">
        <v>4</v>
      </c>
      <c r="F210" s="70"/>
      <c r="G210" s="70">
        <v>152.77000000000001</v>
      </c>
      <c r="H210" s="70">
        <v>4.6100000000000003</v>
      </c>
      <c r="I210" s="70">
        <v>11.22</v>
      </c>
      <c r="J210" s="70">
        <v>0.17</v>
      </c>
      <c r="K210" s="70">
        <v>11.84</v>
      </c>
      <c r="L210" s="70">
        <v>1.99</v>
      </c>
      <c r="M210" s="68">
        <f t="shared" si="3"/>
        <v>-152.77000000000001</v>
      </c>
    </row>
    <row r="211" spans="1:13" x14ac:dyDescent="0.25">
      <c r="A211" s="70">
        <v>2371</v>
      </c>
      <c r="B211" s="70" t="s">
        <v>229</v>
      </c>
      <c r="C211" s="70">
        <v>0</v>
      </c>
      <c r="D211" s="70" t="s">
        <v>1823</v>
      </c>
      <c r="E211" s="70">
        <v>4</v>
      </c>
      <c r="F211" s="70"/>
      <c r="G211" s="70">
        <v>-571.22</v>
      </c>
      <c r="H211" s="70">
        <v>-10.87</v>
      </c>
      <c r="I211" s="70">
        <v>11.2</v>
      </c>
      <c r="J211" s="70">
        <v>0.33</v>
      </c>
      <c r="K211" s="70">
        <v>-15.38</v>
      </c>
      <c r="L211" s="70">
        <v>5.72</v>
      </c>
      <c r="M211" s="68">
        <f t="shared" si="3"/>
        <v>571.22</v>
      </c>
    </row>
    <row r="212" spans="1:13" x14ac:dyDescent="0.25">
      <c r="A212" s="70">
        <v>1866</v>
      </c>
      <c r="B212" s="70" t="s">
        <v>229</v>
      </c>
      <c r="C212" s="70">
        <v>0</v>
      </c>
      <c r="D212" s="70" t="s">
        <v>1279</v>
      </c>
      <c r="E212" s="70">
        <v>4</v>
      </c>
      <c r="F212" s="70"/>
      <c r="G212" s="70">
        <v>270.56</v>
      </c>
      <c r="H212" s="70">
        <v>-5.84</v>
      </c>
      <c r="I212" s="70">
        <v>11.15</v>
      </c>
      <c r="J212" s="70">
        <v>0.2</v>
      </c>
      <c r="K212" s="70">
        <v>10.41</v>
      </c>
      <c r="L212" s="70">
        <v>3.32</v>
      </c>
      <c r="M212" s="68">
        <f t="shared" si="3"/>
        <v>-270.56</v>
      </c>
    </row>
    <row r="213" spans="1:13" x14ac:dyDescent="0.25">
      <c r="A213" s="70">
        <v>1819</v>
      </c>
      <c r="B213" s="70" t="s">
        <v>229</v>
      </c>
      <c r="C213" s="70">
        <v>0</v>
      </c>
      <c r="D213" s="70" t="s">
        <v>1247</v>
      </c>
      <c r="E213" s="70">
        <v>4</v>
      </c>
      <c r="F213" s="70"/>
      <c r="G213" s="70">
        <v>-572.54999999999995</v>
      </c>
      <c r="H213" s="70">
        <v>10.82</v>
      </c>
      <c r="I213" s="70">
        <v>11.1</v>
      </c>
      <c r="J213" s="70">
        <v>0.33</v>
      </c>
      <c r="K213" s="70">
        <v>-15.33</v>
      </c>
      <c r="L213" s="70">
        <v>5.69</v>
      </c>
      <c r="M213" s="68">
        <f t="shared" si="3"/>
        <v>572.54999999999995</v>
      </c>
    </row>
    <row r="214" spans="1:13" x14ac:dyDescent="0.25">
      <c r="A214" s="70">
        <v>62</v>
      </c>
      <c r="B214" s="70" t="s">
        <v>229</v>
      </c>
      <c r="C214" s="70">
        <v>0</v>
      </c>
      <c r="D214" s="70" t="s">
        <v>1150</v>
      </c>
      <c r="E214" s="70">
        <v>0</v>
      </c>
      <c r="F214" s="70"/>
      <c r="G214" s="70">
        <v>-29.82</v>
      </c>
      <c r="H214" s="70">
        <v>-1.97</v>
      </c>
      <c r="I214" s="70">
        <v>11.07</v>
      </c>
      <c r="J214" s="70">
        <v>-0.2</v>
      </c>
      <c r="K214" s="70">
        <v>-5.14</v>
      </c>
      <c r="L214" s="70">
        <v>-0.99</v>
      </c>
      <c r="M214" s="68">
        <f t="shared" si="3"/>
        <v>29.82</v>
      </c>
    </row>
    <row r="215" spans="1:13" x14ac:dyDescent="0.25">
      <c r="A215" s="70">
        <v>2010</v>
      </c>
      <c r="B215" s="70" t="s">
        <v>229</v>
      </c>
      <c r="C215" s="70">
        <v>0</v>
      </c>
      <c r="D215" s="70" t="s">
        <v>1435</v>
      </c>
      <c r="E215" s="70">
        <v>4</v>
      </c>
      <c r="F215" s="70"/>
      <c r="G215" s="70">
        <v>328.21</v>
      </c>
      <c r="H215" s="70">
        <v>-7.37</v>
      </c>
      <c r="I215" s="70">
        <v>11.05</v>
      </c>
      <c r="J215" s="70">
        <v>-0.56000000000000005</v>
      </c>
      <c r="K215" s="70">
        <v>8.9700000000000006</v>
      </c>
      <c r="L215" s="70">
        <v>3.81</v>
      </c>
      <c r="M215" s="68">
        <f t="shared" si="3"/>
        <v>-328.21</v>
      </c>
    </row>
    <row r="216" spans="1:13" x14ac:dyDescent="0.25">
      <c r="A216" s="70">
        <v>1831</v>
      </c>
      <c r="B216" s="70" t="s">
        <v>229</v>
      </c>
      <c r="C216" s="70">
        <v>0</v>
      </c>
      <c r="D216" s="70" t="s">
        <v>1271</v>
      </c>
      <c r="E216" s="70">
        <v>4</v>
      </c>
      <c r="F216" s="70"/>
      <c r="G216" s="70">
        <v>153.80000000000001</v>
      </c>
      <c r="H216" s="70">
        <v>4.59</v>
      </c>
      <c r="I216" s="70">
        <v>10.93</v>
      </c>
      <c r="J216" s="70">
        <v>0.17</v>
      </c>
      <c r="K216" s="70">
        <v>11.8</v>
      </c>
      <c r="L216" s="70">
        <v>1.99</v>
      </c>
      <c r="M216" s="68">
        <f t="shared" si="3"/>
        <v>-153.80000000000001</v>
      </c>
    </row>
    <row r="217" spans="1:13" x14ac:dyDescent="0.25">
      <c r="A217" s="70">
        <v>1963</v>
      </c>
      <c r="B217" s="70" t="s">
        <v>229</v>
      </c>
      <c r="C217" s="70">
        <v>0</v>
      </c>
      <c r="D217" s="70" t="s">
        <v>1403</v>
      </c>
      <c r="E217" s="70">
        <v>4</v>
      </c>
      <c r="F217" s="70"/>
      <c r="G217" s="70">
        <v>398.31</v>
      </c>
      <c r="H217" s="70">
        <v>-7.38</v>
      </c>
      <c r="I217" s="70">
        <v>10.87</v>
      </c>
      <c r="J217" s="70">
        <v>-0.49</v>
      </c>
      <c r="K217" s="70">
        <v>8.64</v>
      </c>
      <c r="L217" s="70">
        <v>3.41</v>
      </c>
      <c r="M217" s="68">
        <f t="shared" si="3"/>
        <v>-398.31</v>
      </c>
    </row>
    <row r="218" spans="1:13" x14ac:dyDescent="0.25">
      <c r="A218" s="70">
        <v>2286</v>
      </c>
      <c r="B218" s="70" t="s">
        <v>229</v>
      </c>
      <c r="C218" s="70">
        <v>0</v>
      </c>
      <c r="D218" s="70" t="s">
        <v>1723</v>
      </c>
      <c r="E218" s="70">
        <v>4</v>
      </c>
      <c r="F218" s="70"/>
      <c r="G218" s="70">
        <v>329.08</v>
      </c>
      <c r="H218" s="70">
        <v>-7.37</v>
      </c>
      <c r="I218" s="70">
        <v>10.87</v>
      </c>
      <c r="J218" s="70">
        <v>-0.56000000000000005</v>
      </c>
      <c r="K218" s="70">
        <v>9.0399999999999991</v>
      </c>
      <c r="L218" s="70">
        <v>3.81</v>
      </c>
      <c r="M218" s="68">
        <f t="shared" si="3"/>
        <v>-329.08</v>
      </c>
    </row>
    <row r="219" spans="1:13" x14ac:dyDescent="0.25">
      <c r="A219" s="70">
        <v>2564</v>
      </c>
      <c r="B219" s="70" t="s">
        <v>229</v>
      </c>
      <c r="C219" s="70">
        <v>0</v>
      </c>
      <c r="D219" s="70" t="s">
        <v>2014</v>
      </c>
      <c r="E219" s="70">
        <v>0</v>
      </c>
      <c r="F219" s="70"/>
      <c r="G219" s="70">
        <v>-30.75</v>
      </c>
      <c r="H219" s="70">
        <v>-1.96</v>
      </c>
      <c r="I219" s="70">
        <v>10.86</v>
      </c>
      <c r="J219" s="70">
        <v>-0.2</v>
      </c>
      <c r="K219" s="70">
        <v>-5.26</v>
      </c>
      <c r="L219" s="70">
        <v>-0.99</v>
      </c>
      <c r="M219" s="68">
        <f t="shared" si="3"/>
        <v>30.75</v>
      </c>
    </row>
    <row r="220" spans="1:13" x14ac:dyDescent="0.25">
      <c r="A220" s="70">
        <v>11</v>
      </c>
      <c r="B220" s="70" t="s">
        <v>229</v>
      </c>
      <c r="C220" s="70">
        <v>0</v>
      </c>
      <c r="D220" s="70" t="s">
        <v>1115</v>
      </c>
      <c r="E220" s="70">
        <v>4</v>
      </c>
      <c r="F220" s="70"/>
      <c r="G220" s="70">
        <v>201.65</v>
      </c>
      <c r="H220" s="70">
        <v>-1.77</v>
      </c>
      <c r="I220" s="70">
        <v>10.81</v>
      </c>
      <c r="J220" s="70">
        <v>-0.17</v>
      </c>
      <c r="K220" s="70">
        <v>6.78</v>
      </c>
      <c r="L220" s="70">
        <v>0.85</v>
      </c>
      <c r="M220" s="68">
        <f t="shared" si="3"/>
        <v>-201.65</v>
      </c>
    </row>
    <row r="221" spans="1:13" x14ac:dyDescent="0.25">
      <c r="A221" s="70">
        <v>1800</v>
      </c>
      <c r="B221" s="70" t="s">
        <v>229</v>
      </c>
      <c r="C221" s="70">
        <v>0</v>
      </c>
      <c r="D221" s="70" t="s">
        <v>1213</v>
      </c>
      <c r="E221" s="70">
        <v>4</v>
      </c>
      <c r="F221" s="70"/>
      <c r="G221" s="70">
        <v>396.88</v>
      </c>
      <c r="H221" s="70">
        <v>-7.29</v>
      </c>
      <c r="I221" s="70">
        <v>10.81</v>
      </c>
      <c r="J221" s="70">
        <v>-0.33</v>
      </c>
      <c r="K221" s="70">
        <v>8.0299999999999994</v>
      </c>
      <c r="L221" s="70">
        <v>4.04</v>
      </c>
      <c r="M221" s="68">
        <f t="shared" si="3"/>
        <v>-396.88</v>
      </c>
    </row>
    <row r="222" spans="1:13" x14ac:dyDescent="0.25">
      <c r="A222" s="70">
        <v>2420</v>
      </c>
      <c r="B222" s="70" t="s">
        <v>229</v>
      </c>
      <c r="C222" s="70">
        <v>0</v>
      </c>
      <c r="D222" s="70" t="s">
        <v>1859</v>
      </c>
      <c r="E222" s="70">
        <v>4</v>
      </c>
      <c r="F222" s="70"/>
      <c r="G222" s="70">
        <v>359.61</v>
      </c>
      <c r="H222" s="70">
        <v>-7.16</v>
      </c>
      <c r="I222" s="70">
        <v>10.74</v>
      </c>
      <c r="J222" s="70">
        <v>-0.27</v>
      </c>
      <c r="K222" s="70">
        <v>4.54</v>
      </c>
      <c r="L222" s="70">
        <v>4.03</v>
      </c>
      <c r="M222" s="68">
        <f t="shared" si="3"/>
        <v>-359.61</v>
      </c>
    </row>
    <row r="223" spans="1:13" x14ac:dyDescent="0.25">
      <c r="A223" s="70">
        <v>1868</v>
      </c>
      <c r="B223" s="70" t="s">
        <v>229</v>
      </c>
      <c r="C223" s="70">
        <v>0</v>
      </c>
      <c r="D223" s="70" t="s">
        <v>1283</v>
      </c>
      <c r="E223" s="70">
        <v>4</v>
      </c>
      <c r="F223" s="70"/>
      <c r="G223" s="70">
        <v>359.25</v>
      </c>
      <c r="H223" s="70">
        <v>7.19</v>
      </c>
      <c r="I223" s="70">
        <v>10.72</v>
      </c>
      <c r="J223" s="70">
        <v>0.27</v>
      </c>
      <c r="K223" s="70">
        <v>4.51</v>
      </c>
      <c r="L223" s="70">
        <v>-4.03</v>
      </c>
      <c r="M223" s="68">
        <f t="shared" si="3"/>
        <v>-359.25</v>
      </c>
    </row>
    <row r="224" spans="1:13" x14ac:dyDescent="0.25">
      <c r="A224" s="70">
        <v>2239</v>
      </c>
      <c r="B224" s="70" t="s">
        <v>229</v>
      </c>
      <c r="C224" s="70">
        <v>0</v>
      </c>
      <c r="D224" s="70" t="s">
        <v>1691</v>
      </c>
      <c r="E224" s="70">
        <v>4</v>
      </c>
      <c r="F224" s="70"/>
      <c r="G224" s="70">
        <v>397.6</v>
      </c>
      <c r="H224" s="70">
        <v>-7.36</v>
      </c>
      <c r="I224" s="70">
        <v>10.72</v>
      </c>
      <c r="J224" s="70">
        <v>-0.49</v>
      </c>
      <c r="K224" s="70">
        <v>8.6999999999999993</v>
      </c>
      <c r="L224" s="70">
        <v>3.4</v>
      </c>
      <c r="M224" s="68">
        <f t="shared" si="3"/>
        <v>-397.6</v>
      </c>
    </row>
    <row r="225" spans="1:13" x14ac:dyDescent="0.25">
      <c r="A225" s="70">
        <v>1896</v>
      </c>
      <c r="B225" s="70" t="s">
        <v>229</v>
      </c>
      <c r="C225" s="70">
        <v>0</v>
      </c>
      <c r="D225" s="70" t="s">
        <v>1335</v>
      </c>
      <c r="E225" s="70">
        <v>4</v>
      </c>
      <c r="F225" s="70"/>
      <c r="G225" s="70">
        <v>390.03</v>
      </c>
      <c r="H225" s="70">
        <v>-7.35</v>
      </c>
      <c r="I225" s="70">
        <v>10.71</v>
      </c>
      <c r="J225" s="70">
        <v>-0.33</v>
      </c>
      <c r="K225" s="70">
        <v>3.76</v>
      </c>
      <c r="L225" s="70">
        <v>3.23</v>
      </c>
      <c r="M225" s="68">
        <f t="shared" si="3"/>
        <v>-390.03</v>
      </c>
    </row>
    <row r="226" spans="1:13" x14ac:dyDescent="0.25">
      <c r="A226" s="70">
        <v>1886</v>
      </c>
      <c r="B226" s="70" t="s">
        <v>229</v>
      </c>
      <c r="C226" s="70">
        <v>0</v>
      </c>
      <c r="D226" s="70" t="s">
        <v>1315</v>
      </c>
      <c r="E226" s="70">
        <v>4</v>
      </c>
      <c r="F226" s="70"/>
      <c r="G226" s="70">
        <v>-759.17</v>
      </c>
      <c r="H226" s="70">
        <v>10.56</v>
      </c>
      <c r="I226" s="70">
        <v>10.68</v>
      </c>
      <c r="J226" s="70">
        <v>0.3</v>
      </c>
      <c r="K226" s="70">
        <v>-9.83</v>
      </c>
      <c r="L226" s="70">
        <v>-5.33</v>
      </c>
      <c r="M226" s="68">
        <f t="shared" si="3"/>
        <v>759.17</v>
      </c>
    </row>
    <row r="227" spans="1:13" x14ac:dyDescent="0.25">
      <c r="A227" s="70">
        <v>2490</v>
      </c>
      <c r="B227" s="70" t="s">
        <v>229</v>
      </c>
      <c r="C227" s="70">
        <v>0</v>
      </c>
      <c r="D227" s="70" t="s">
        <v>1933</v>
      </c>
      <c r="E227" s="70">
        <v>4</v>
      </c>
      <c r="F227" s="70"/>
      <c r="G227" s="70">
        <v>397.47</v>
      </c>
      <c r="H227" s="70">
        <v>-7.34</v>
      </c>
      <c r="I227" s="70">
        <v>10.63</v>
      </c>
      <c r="J227" s="70">
        <v>-0.34</v>
      </c>
      <c r="K227" s="70">
        <v>8.1199999999999992</v>
      </c>
      <c r="L227" s="70">
        <v>4.07</v>
      </c>
      <c r="M227" s="68">
        <f t="shared" si="3"/>
        <v>-397.47</v>
      </c>
    </row>
    <row r="228" spans="1:13" x14ac:dyDescent="0.25">
      <c r="A228" s="70">
        <v>2310</v>
      </c>
      <c r="B228" s="70" t="s">
        <v>229</v>
      </c>
      <c r="C228" s="70">
        <v>0</v>
      </c>
      <c r="D228" s="70" t="s">
        <v>1767</v>
      </c>
      <c r="E228" s="70">
        <v>4</v>
      </c>
      <c r="F228" s="70"/>
      <c r="G228" s="70">
        <v>389.54</v>
      </c>
      <c r="H228" s="70">
        <v>-7.3</v>
      </c>
      <c r="I228" s="70">
        <v>10.62</v>
      </c>
      <c r="J228" s="70">
        <v>-0.33</v>
      </c>
      <c r="K228" s="70">
        <v>3.81</v>
      </c>
      <c r="L228" s="70">
        <v>3.21</v>
      </c>
      <c r="M228" s="68">
        <f t="shared" si="3"/>
        <v>-389.54</v>
      </c>
    </row>
    <row r="229" spans="1:13" x14ac:dyDescent="0.25">
      <c r="A229" s="70">
        <v>2515</v>
      </c>
      <c r="B229" s="70" t="s">
        <v>229</v>
      </c>
      <c r="C229" s="70">
        <v>0</v>
      </c>
      <c r="D229" s="70" t="s">
        <v>1979</v>
      </c>
      <c r="E229" s="70">
        <v>4</v>
      </c>
      <c r="F229" s="70"/>
      <c r="G229" s="70">
        <v>201.06</v>
      </c>
      <c r="H229" s="70">
        <v>-1.76</v>
      </c>
      <c r="I229" s="70">
        <v>10.6</v>
      </c>
      <c r="J229" s="70">
        <v>-0.17</v>
      </c>
      <c r="K229" s="70">
        <v>6.86</v>
      </c>
      <c r="L229" s="70">
        <v>0.84</v>
      </c>
      <c r="M229" s="68">
        <f t="shared" si="3"/>
        <v>-201.06</v>
      </c>
    </row>
    <row r="230" spans="1:13" x14ac:dyDescent="0.25">
      <c r="A230" s="70">
        <v>2300</v>
      </c>
      <c r="B230" s="70" t="s">
        <v>229</v>
      </c>
      <c r="C230" s="70">
        <v>0</v>
      </c>
      <c r="D230" s="70" t="s">
        <v>1747</v>
      </c>
      <c r="E230" s="70">
        <v>4</v>
      </c>
      <c r="F230" s="70"/>
      <c r="G230" s="70">
        <v>-757.97</v>
      </c>
      <c r="H230" s="70">
        <v>-10.57</v>
      </c>
      <c r="I230" s="70">
        <v>10.43</v>
      </c>
      <c r="J230" s="70">
        <v>0.3</v>
      </c>
      <c r="K230" s="70">
        <v>-9.91</v>
      </c>
      <c r="L230" s="70">
        <v>5.35</v>
      </c>
      <c r="M230" s="68">
        <f t="shared" si="3"/>
        <v>757.97</v>
      </c>
    </row>
    <row r="231" spans="1:13" x14ac:dyDescent="0.25">
      <c r="A231" s="70">
        <v>12</v>
      </c>
      <c r="B231" s="70" t="s">
        <v>229</v>
      </c>
      <c r="C231" s="70">
        <v>0</v>
      </c>
      <c r="D231" s="70" t="s">
        <v>1117</v>
      </c>
      <c r="E231" s="70">
        <v>4</v>
      </c>
      <c r="F231" s="70"/>
      <c r="G231" s="70">
        <v>209.65</v>
      </c>
      <c r="H231" s="70">
        <v>-1.77</v>
      </c>
      <c r="I231" s="70">
        <v>10.33</v>
      </c>
      <c r="J231" s="70">
        <v>-0.14000000000000001</v>
      </c>
      <c r="K231" s="70">
        <v>4.59</v>
      </c>
      <c r="L231" s="70">
        <v>0.84</v>
      </c>
      <c r="M231" s="68">
        <f t="shared" si="3"/>
        <v>-209.65</v>
      </c>
    </row>
    <row r="232" spans="1:13" x14ac:dyDescent="0.25">
      <c r="A232" s="70">
        <v>2349</v>
      </c>
      <c r="B232" s="70" t="s">
        <v>229</v>
      </c>
      <c r="C232" s="70">
        <v>0</v>
      </c>
      <c r="D232" s="70" t="s">
        <v>1783</v>
      </c>
      <c r="E232" s="70">
        <v>4</v>
      </c>
      <c r="F232" s="70"/>
      <c r="G232" s="70">
        <v>268.8</v>
      </c>
      <c r="H232" s="70">
        <v>-5.86</v>
      </c>
      <c r="I232" s="70">
        <v>10.28</v>
      </c>
      <c r="J232" s="70">
        <v>0.2</v>
      </c>
      <c r="K232" s="70">
        <v>10.33</v>
      </c>
      <c r="L232" s="70">
        <v>3.33</v>
      </c>
      <c r="M232" s="68">
        <f t="shared" si="3"/>
        <v>-268.8</v>
      </c>
    </row>
    <row r="233" spans="1:13" x14ac:dyDescent="0.25">
      <c r="A233" s="70">
        <v>10</v>
      </c>
      <c r="B233" s="70" t="s">
        <v>229</v>
      </c>
      <c r="C233" s="70">
        <v>0</v>
      </c>
      <c r="D233" s="70" t="s">
        <v>1113</v>
      </c>
      <c r="E233" s="70">
        <v>4</v>
      </c>
      <c r="F233" s="70"/>
      <c r="G233" s="70">
        <v>163.13</v>
      </c>
      <c r="H233" s="70">
        <v>-1.77</v>
      </c>
      <c r="I233" s="70">
        <v>10.27</v>
      </c>
      <c r="J233" s="70">
        <v>-0.19</v>
      </c>
      <c r="K233" s="70">
        <v>8</v>
      </c>
      <c r="L233" s="70">
        <v>0.86</v>
      </c>
      <c r="M233" s="68">
        <f t="shared" si="3"/>
        <v>-163.13</v>
      </c>
    </row>
    <row r="234" spans="1:13" x14ac:dyDescent="0.25">
      <c r="A234" s="70">
        <v>1870</v>
      </c>
      <c r="B234" s="70" t="s">
        <v>229</v>
      </c>
      <c r="C234" s="70">
        <v>0</v>
      </c>
      <c r="D234" s="70" t="s">
        <v>1287</v>
      </c>
      <c r="E234" s="70">
        <v>4</v>
      </c>
      <c r="F234" s="70"/>
      <c r="G234" s="70">
        <v>422</v>
      </c>
      <c r="H234" s="70">
        <v>-7.33</v>
      </c>
      <c r="I234" s="70">
        <v>10.210000000000001</v>
      </c>
      <c r="J234" s="70">
        <v>-0.42</v>
      </c>
      <c r="K234" s="70">
        <v>10.91</v>
      </c>
      <c r="L234" s="70">
        <v>3.99</v>
      </c>
      <c r="M234" s="68">
        <f t="shared" si="3"/>
        <v>-422</v>
      </c>
    </row>
    <row r="235" spans="1:13" x14ac:dyDescent="0.25">
      <c r="A235" s="70">
        <v>2314</v>
      </c>
      <c r="B235" s="70" t="s">
        <v>229</v>
      </c>
      <c r="C235" s="70">
        <v>0</v>
      </c>
      <c r="D235" s="70" t="s">
        <v>1775</v>
      </c>
      <c r="E235" s="70">
        <v>4</v>
      </c>
      <c r="F235" s="70"/>
      <c r="G235" s="70">
        <v>150.80000000000001</v>
      </c>
      <c r="H235" s="70">
        <v>4.6100000000000003</v>
      </c>
      <c r="I235" s="70">
        <v>10.19</v>
      </c>
      <c r="J235" s="70">
        <v>0.17</v>
      </c>
      <c r="K235" s="70">
        <v>11.68</v>
      </c>
      <c r="L235" s="70">
        <v>1.99</v>
      </c>
      <c r="M235" s="68">
        <f t="shared" si="3"/>
        <v>-150.80000000000001</v>
      </c>
    </row>
    <row r="236" spans="1:13" x14ac:dyDescent="0.25">
      <c r="A236" s="70">
        <v>2516</v>
      </c>
      <c r="B236" s="70" t="s">
        <v>229</v>
      </c>
      <c r="C236" s="70">
        <v>0</v>
      </c>
      <c r="D236" s="70" t="s">
        <v>1981</v>
      </c>
      <c r="E236" s="70">
        <v>4</v>
      </c>
      <c r="F236" s="70"/>
      <c r="G236" s="70">
        <v>209.18</v>
      </c>
      <c r="H236" s="70">
        <v>-1.76</v>
      </c>
      <c r="I236" s="70">
        <v>10.17</v>
      </c>
      <c r="J236" s="70">
        <v>-0.14000000000000001</v>
      </c>
      <c r="K236" s="70">
        <v>4.66</v>
      </c>
      <c r="L236" s="70">
        <v>0.83</v>
      </c>
      <c r="M236" s="68">
        <f t="shared" si="3"/>
        <v>-209.18</v>
      </c>
    </row>
    <row r="237" spans="1:13" x14ac:dyDescent="0.25">
      <c r="A237" s="70">
        <v>2281</v>
      </c>
      <c r="B237" s="70" t="s">
        <v>229</v>
      </c>
      <c r="C237" s="70">
        <v>0</v>
      </c>
      <c r="D237" s="70" t="s">
        <v>1713</v>
      </c>
      <c r="E237" s="70">
        <v>4</v>
      </c>
      <c r="F237" s="70"/>
      <c r="G237" s="70">
        <v>320.76</v>
      </c>
      <c r="H237" s="70">
        <v>-6.74</v>
      </c>
      <c r="I237" s="70">
        <v>10.14</v>
      </c>
      <c r="J237" s="70">
        <v>0.23</v>
      </c>
      <c r="K237" s="70">
        <v>4.28</v>
      </c>
      <c r="L237" s="70">
        <v>3.81</v>
      </c>
      <c r="M237" s="68">
        <f t="shared" si="3"/>
        <v>-320.76</v>
      </c>
    </row>
    <row r="238" spans="1:13" x14ac:dyDescent="0.25">
      <c r="A238" s="70">
        <v>2438</v>
      </c>
      <c r="B238" s="70" t="s">
        <v>229</v>
      </c>
      <c r="C238" s="70">
        <v>0</v>
      </c>
      <c r="D238" s="70" t="s">
        <v>1890</v>
      </c>
      <c r="E238" s="70">
        <v>0</v>
      </c>
      <c r="F238" s="70"/>
      <c r="G238" s="70">
        <v>-779.37</v>
      </c>
      <c r="H238" s="70">
        <v>-10.57</v>
      </c>
      <c r="I238" s="70">
        <v>10.130000000000001</v>
      </c>
      <c r="J238" s="70">
        <v>0.3</v>
      </c>
      <c r="K238" s="70">
        <v>-8.8000000000000007</v>
      </c>
      <c r="L238" s="70">
        <v>-5.18</v>
      </c>
      <c r="M238" s="68">
        <f t="shared" si="3"/>
        <v>779.37</v>
      </c>
    </row>
    <row r="239" spans="1:13" x14ac:dyDescent="0.25">
      <c r="A239" s="70">
        <v>2011</v>
      </c>
      <c r="B239" s="70" t="s">
        <v>229</v>
      </c>
      <c r="C239" s="70">
        <v>0</v>
      </c>
      <c r="D239" s="70" t="s">
        <v>1436</v>
      </c>
      <c r="E239" s="70">
        <v>0</v>
      </c>
      <c r="F239" s="70"/>
      <c r="G239" s="70">
        <v>174.42</v>
      </c>
      <c r="H239" s="70">
        <v>-7.65</v>
      </c>
      <c r="I239" s="70">
        <v>10.09</v>
      </c>
      <c r="J239" s="70">
        <v>-0.6</v>
      </c>
      <c r="K239" s="70">
        <v>9.4</v>
      </c>
      <c r="L239" s="70">
        <v>-3.82</v>
      </c>
      <c r="M239" s="68">
        <f t="shared" si="3"/>
        <v>-174.42</v>
      </c>
    </row>
    <row r="240" spans="1:13" x14ac:dyDescent="0.25">
      <c r="A240" s="70">
        <v>2220</v>
      </c>
      <c r="B240" s="70" t="s">
        <v>229</v>
      </c>
      <c r="C240" s="70">
        <v>0</v>
      </c>
      <c r="D240" s="70" t="s">
        <v>1657</v>
      </c>
      <c r="E240" s="70">
        <v>4</v>
      </c>
      <c r="F240" s="70"/>
      <c r="G240" s="70">
        <v>-243.76</v>
      </c>
      <c r="H240" s="70">
        <v>-8.89</v>
      </c>
      <c r="I240" s="70">
        <v>10.09</v>
      </c>
      <c r="J240" s="70">
        <v>-0.51</v>
      </c>
      <c r="K240" s="70">
        <v>-12.81</v>
      </c>
      <c r="L240" s="70">
        <v>4.1500000000000004</v>
      </c>
      <c r="M240" s="68">
        <f t="shared" si="3"/>
        <v>243.76</v>
      </c>
    </row>
    <row r="241" spans="1:13" x14ac:dyDescent="0.25">
      <c r="A241" s="70">
        <v>1935</v>
      </c>
      <c r="B241" s="70" t="s">
        <v>229</v>
      </c>
      <c r="C241" s="70">
        <v>0</v>
      </c>
      <c r="D241" s="70" t="s">
        <v>1351</v>
      </c>
      <c r="E241" s="70">
        <v>4</v>
      </c>
      <c r="F241" s="70"/>
      <c r="G241" s="70">
        <v>268.61</v>
      </c>
      <c r="H241" s="70">
        <v>-5.84</v>
      </c>
      <c r="I241" s="70">
        <v>10.07</v>
      </c>
      <c r="J241" s="70">
        <v>0.2</v>
      </c>
      <c r="K241" s="70">
        <v>10.3</v>
      </c>
      <c r="L241" s="70">
        <v>3.32</v>
      </c>
      <c r="M241" s="68">
        <f t="shared" si="3"/>
        <v>-268.61</v>
      </c>
    </row>
    <row r="242" spans="1:13" x14ac:dyDescent="0.25">
      <c r="A242" s="70">
        <v>2082</v>
      </c>
      <c r="B242" s="70" t="s">
        <v>229</v>
      </c>
      <c r="C242" s="70">
        <v>0</v>
      </c>
      <c r="D242" s="70" t="s">
        <v>1513</v>
      </c>
      <c r="E242" s="70">
        <v>4</v>
      </c>
      <c r="F242" s="70"/>
      <c r="G242" s="70">
        <v>-243.47</v>
      </c>
      <c r="H242" s="70">
        <v>-8.91</v>
      </c>
      <c r="I242" s="70">
        <v>10.06</v>
      </c>
      <c r="J242" s="70">
        <v>-0.51</v>
      </c>
      <c r="K242" s="70">
        <v>-12.73</v>
      </c>
      <c r="L242" s="70">
        <v>4.16</v>
      </c>
      <c r="M242" s="68">
        <f t="shared" si="3"/>
        <v>243.47</v>
      </c>
    </row>
    <row r="243" spans="1:13" x14ac:dyDescent="0.25">
      <c r="A243" s="70">
        <v>1900</v>
      </c>
      <c r="B243" s="70" t="s">
        <v>229</v>
      </c>
      <c r="C243" s="70">
        <v>0</v>
      </c>
      <c r="D243" s="70" t="s">
        <v>1343</v>
      </c>
      <c r="E243" s="70">
        <v>4</v>
      </c>
      <c r="F243" s="70"/>
      <c r="G243" s="70">
        <v>151.72</v>
      </c>
      <c r="H243" s="70">
        <v>4.59</v>
      </c>
      <c r="I243" s="70">
        <v>10.039999999999999</v>
      </c>
      <c r="J243" s="70">
        <v>0.17</v>
      </c>
      <c r="K243" s="70">
        <v>11.65</v>
      </c>
      <c r="L243" s="70">
        <v>1.99</v>
      </c>
      <c r="M243" s="68">
        <f t="shared" si="3"/>
        <v>-151.72</v>
      </c>
    </row>
    <row r="244" spans="1:13" x14ac:dyDescent="0.25">
      <c r="A244" s="70">
        <v>2005</v>
      </c>
      <c r="B244" s="70" t="s">
        <v>229</v>
      </c>
      <c r="C244" s="70">
        <v>0</v>
      </c>
      <c r="D244" s="70" t="s">
        <v>1425</v>
      </c>
      <c r="E244" s="70">
        <v>4</v>
      </c>
      <c r="F244" s="70"/>
      <c r="G244" s="70">
        <v>320.43</v>
      </c>
      <c r="H244" s="70">
        <v>-6.71</v>
      </c>
      <c r="I244" s="70">
        <v>10.039999999999999</v>
      </c>
      <c r="J244" s="70">
        <v>0.23</v>
      </c>
      <c r="K244" s="70">
        <v>4.28</v>
      </c>
      <c r="L244" s="70">
        <v>3.8</v>
      </c>
      <c r="M244" s="68">
        <f t="shared" si="3"/>
        <v>-320.43</v>
      </c>
    </row>
    <row r="245" spans="1:13" x14ac:dyDescent="0.25">
      <c r="A245" s="70">
        <v>2429</v>
      </c>
      <c r="B245" s="70" t="s">
        <v>229</v>
      </c>
      <c r="C245" s="70">
        <v>0</v>
      </c>
      <c r="D245" s="70" t="s">
        <v>1877</v>
      </c>
      <c r="E245" s="70">
        <v>4</v>
      </c>
      <c r="F245" s="70"/>
      <c r="G245" s="70">
        <v>-574.9</v>
      </c>
      <c r="H245" s="70">
        <v>-10.82</v>
      </c>
      <c r="I245" s="70">
        <v>10.029999999999999</v>
      </c>
      <c r="J245" s="70">
        <v>0.33</v>
      </c>
      <c r="K245" s="70">
        <v>-14.44</v>
      </c>
      <c r="L245" s="70">
        <v>-5.0599999999999996</v>
      </c>
      <c r="M245" s="68">
        <f t="shared" si="3"/>
        <v>574.9</v>
      </c>
    </row>
    <row r="246" spans="1:13" x14ac:dyDescent="0.25">
      <c r="A246" s="70">
        <v>1877</v>
      </c>
      <c r="B246" s="70" t="s">
        <v>229</v>
      </c>
      <c r="C246" s="70">
        <v>0</v>
      </c>
      <c r="D246" s="70" t="s">
        <v>1301</v>
      </c>
      <c r="E246" s="70">
        <v>4</v>
      </c>
      <c r="F246" s="70"/>
      <c r="G246" s="70">
        <v>-573.58000000000004</v>
      </c>
      <c r="H246" s="70">
        <v>-10.88</v>
      </c>
      <c r="I246" s="70">
        <v>10.02</v>
      </c>
      <c r="J246" s="70">
        <v>0.33</v>
      </c>
      <c r="K246" s="70">
        <v>-14.42</v>
      </c>
      <c r="L246" s="70">
        <v>5.07</v>
      </c>
      <c r="M246" s="68">
        <f t="shared" si="3"/>
        <v>573.58000000000004</v>
      </c>
    </row>
    <row r="247" spans="1:13" x14ac:dyDescent="0.25">
      <c r="A247" s="70">
        <v>2514</v>
      </c>
      <c r="B247" s="70" t="s">
        <v>229</v>
      </c>
      <c r="C247" s="70">
        <v>0</v>
      </c>
      <c r="D247" s="70" t="s">
        <v>1977</v>
      </c>
      <c r="E247" s="70">
        <v>4</v>
      </c>
      <c r="F247" s="70"/>
      <c r="G247" s="70">
        <v>162.44999999999999</v>
      </c>
      <c r="H247" s="70">
        <v>-1.77</v>
      </c>
      <c r="I247" s="70">
        <v>10.02</v>
      </c>
      <c r="J247" s="70">
        <v>-0.19</v>
      </c>
      <c r="K247" s="70">
        <v>8.11</v>
      </c>
      <c r="L247" s="70">
        <v>0.86</v>
      </c>
      <c r="M247" s="68">
        <f t="shared" si="3"/>
        <v>-162.44999999999999</v>
      </c>
    </row>
    <row r="248" spans="1:13" x14ac:dyDescent="0.25">
      <c r="A248" s="70">
        <v>2422</v>
      </c>
      <c r="B248" s="70" t="s">
        <v>229</v>
      </c>
      <c r="C248" s="70">
        <v>0</v>
      </c>
      <c r="D248" s="70" t="s">
        <v>1863</v>
      </c>
      <c r="E248" s="70">
        <v>4</v>
      </c>
      <c r="F248" s="70"/>
      <c r="G248" s="70">
        <v>422.67</v>
      </c>
      <c r="H248" s="70">
        <v>-7.38</v>
      </c>
      <c r="I248" s="70">
        <v>9.98</v>
      </c>
      <c r="J248" s="70">
        <v>-0.42</v>
      </c>
      <c r="K248" s="70">
        <v>10.99</v>
      </c>
      <c r="L248" s="70">
        <v>4.01</v>
      </c>
      <c r="M248" s="68">
        <f t="shared" si="3"/>
        <v>-422.67</v>
      </c>
    </row>
    <row r="249" spans="1:13" x14ac:dyDescent="0.25">
      <c r="A249" s="70">
        <v>1955</v>
      </c>
      <c r="B249" s="70" t="s">
        <v>229</v>
      </c>
      <c r="C249" s="70">
        <v>0</v>
      </c>
      <c r="D249" s="70" t="s">
        <v>1387</v>
      </c>
      <c r="E249" s="70">
        <v>4</v>
      </c>
      <c r="F249" s="70"/>
      <c r="G249" s="70">
        <v>-751.26</v>
      </c>
      <c r="H249" s="70">
        <v>10.56</v>
      </c>
      <c r="I249" s="70">
        <v>9.93</v>
      </c>
      <c r="J249" s="70">
        <v>0.3</v>
      </c>
      <c r="K249" s="70">
        <v>-9.1</v>
      </c>
      <c r="L249" s="70">
        <v>5.33</v>
      </c>
      <c r="M249" s="68">
        <f t="shared" si="3"/>
        <v>751.26</v>
      </c>
    </row>
    <row r="250" spans="1:13" x14ac:dyDescent="0.25">
      <c r="A250" s="70">
        <v>2287</v>
      </c>
      <c r="B250" s="70" t="s">
        <v>229</v>
      </c>
      <c r="C250" s="70">
        <v>0</v>
      </c>
      <c r="D250" s="70" t="s">
        <v>1724</v>
      </c>
      <c r="E250" s="70">
        <v>0</v>
      </c>
      <c r="F250" s="70"/>
      <c r="G250" s="70">
        <v>174.91</v>
      </c>
      <c r="H250" s="70">
        <v>-7.64</v>
      </c>
      <c r="I250" s="70">
        <v>9.91</v>
      </c>
      <c r="J250" s="70">
        <v>-0.6</v>
      </c>
      <c r="K250" s="70">
        <v>9.34</v>
      </c>
      <c r="L250" s="70">
        <v>-3.81</v>
      </c>
      <c r="M250" s="68">
        <f t="shared" si="3"/>
        <v>-174.91</v>
      </c>
    </row>
    <row r="251" spans="1:13" x14ac:dyDescent="0.25">
      <c r="A251" s="70">
        <v>2452</v>
      </c>
      <c r="B251" s="70" t="s">
        <v>229</v>
      </c>
      <c r="C251" s="70">
        <v>0</v>
      </c>
      <c r="D251" s="70" t="s">
        <v>1918</v>
      </c>
      <c r="E251" s="70">
        <v>0</v>
      </c>
      <c r="F251" s="70"/>
      <c r="G251" s="70">
        <v>161.58000000000001</v>
      </c>
      <c r="H251" s="70">
        <v>4.6100000000000003</v>
      </c>
      <c r="I251" s="70">
        <v>9.89</v>
      </c>
      <c r="J251" s="70">
        <v>0.17</v>
      </c>
      <c r="K251" s="70">
        <v>18.63</v>
      </c>
      <c r="L251" s="70">
        <v>2.69</v>
      </c>
      <c r="M251" s="68">
        <f t="shared" si="3"/>
        <v>-161.58000000000001</v>
      </c>
    </row>
    <row r="252" spans="1:13" x14ac:dyDescent="0.25">
      <c r="A252" s="70">
        <v>59</v>
      </c>
      <c r="B252" s="70" t="s">
        <v>229</v>
      </c>
      <c r="C252" s="70">
        <v>0</v>
      </c>
      <c r="D252" s="70" t="s">
        <v>1145</v>
      </c>
      <c r="E252" s="70">
        <v>4</v>
      </c>
      <c r="F252" s="70"/>
      <c r="G252" s="70">
        <v>206.39</v>
      </c>
      <c r="H252" s="70">
        <v>-1.76</v>
      </c>
      <c r="I252" s="70">
        <v>9.8699999999999992</v>
      </c>
      <c r="J252" s="70">
        <v>-0.17</v>
      </c>
      <c r="K252" s="70">
        <v>7.17</v>
      </c>
      <c r="L252" s="70">
        <v>0.9</v>
      </c>
      <c r="M252" s="68">
        <f t="shared" si="3"/>
        <v>-206.39</v>
      </c>
    </row>
    <row r="253" spans="1:13" x14ac:dyDescent="0.25">
      <c r="A253" s="70">
        <v>1826</v>
      </c>
      <c r="B253" s="70" t="s">
        <v>229</v>
      </c>
      <c r="C253" s="70">
        <v>0</v>
      </c>
      <c r="D253" s="70" t="s">
        <v>1260</v>
      </c>
      <c r="E253" s="70">
        <v>0</v>
      </c>
      <c r="F253" s="70"/>
      <c r="G253" s="70">
        <v>419.39</v>
      </c>
      <c r="H253" s="70">
        <v>-7.4</v>
      </c>
      <c r="I253" s="70">
        <v>9.77</v>
      </c>
      <c r="J253" s="70">
        <v>-0.41</v>
      </c>
      <c r="K253" s="70">
        <v>10.52</v>
      </c>
      <c r="L253" s="70">
        <v>-4.0199999999999996</v>
      </c>
      <c r="M253" s="68">
        <f t="shared" si="3"/>
        <v>-419.39</v>
      </c>
    </row>
    <row r="254" spans="1:13" x14ac:dyDescent="0.25">
      <c r="A254" s="70">
        <v>2301</v>
      </c>
      <c r="B254" s="70" t="s">
        <v>229</v>
      </c>
      <c r="C254" s="70">
        <v>0</v>
      </c>
      <c r="D254" s="70" t="s">
        <v>1749</v>
      </c>
      <c r="E254" s="70">
        <v>4</v>
      </c>
      <c r="F254" s="70"/>
      <c r="G254" s="70">
        <v>-672.27</v>
      </c>
      <c r="H254" s="70">
        <v>-11.33</v>
      </c>
      <c r="I254" s="70">
        <v>9.77</v>
      </c>
      <c r="J254" s="70">
        <v>0.3</v>
      </c>
      <c r="K254" s="70">
        <v>-12.73</v>
      </c>
      <c r="L254" s="70">
        <v>5.89</v>
      </c>
      <c r="M254" s="68">
        <f t="shared" si="3"/>
        <v>672.27</v>
      </c>
    </row>
    <row r="255" spans="1:13" x14ac:dyDescent="0.25">
      <c r="A255" s="70">
        <v>2231</v>
      </c>
      <c r="B255" s="70" t="s">
        <v>229</v>
      </c>
      <c r="C255" s="70">
        <v>0</v>
      </c>
      <c r="D255" s="70" t="s">
        <v>1675</v>
      </c>
      <c r="E255" s="70">
        <v>4</v>
      </c>
      <c r="F255" s="70"/>
      <c r="G255" s="70">
        <v>-750.44</v>
      </c>
      <c r="H255" s="70">
        <v>-10.57</v>
      </c>
      <c r="I255" s="70">
        <v>9.7100000000000009</v>
      </c>
      <c r="J255" s="70">
        <v>0.3</v>
      </c>
      <c r="K255" s="70">
        <v>-9.17</v>
      </c>
      <c r="L255" s="70">
        <v>5.35</v>
      </c>
      <c r="M255" s="68">
        <f t="shared" si="3"/>
        <v>750.44</v>
      </c>
    </row>
    <row r="256" spans="1:13" x14ac:dyDescent="0.25">
      <c r="A256" s="70">
        <v>2561</v>
      </c>
      <c r="B256" s="70" t="s">
        <v>229</v>
      </c>
      <c r="C256" s="70">
        <v>0</v>
      </c>
      <c r="D256" s="70" t="s">
        <v>2009</v>
      </c>
      <c r="E256" s="70">
        <v>4</v>
      </c>
      <c r="F256" s="70"/>
      <c r="G256" s="70">
        <v>206.94</v>
      </c>
      <c r="H256" s="70">
        <v>-1.77</v>
      </c>
      <c r="I256" s="70">
        <v>9.65</v>
      </c>
      <c r="J256" s="70">
        <v>-0.17</v>
      </c>
      <c r="K256" s="70">
        <v>7.25</v>
      </c>
      <c r="L256" s="70">
        <v>0.91</v>
      </c>
      <c r="M256" s="68">
        <f t="shared" si="3"/>
        <v>-206.94</v>
      </c>
    </row>
    <row r="257" spans="1:13" x14ac:dyDescent="0.25">
      <c r="A257" s="70">
        <v>1748</v>
      </c>
      <c r="B257" s="70" t="s">
        <v>229</v>
      </c>
      <c r="C257" s="70">
        <v>0</v>
      </c>
      <c r="D257" s="70" t="s">
        <v>1170</v>
      </c>
      <c r="E257" s="70">
        <v>0</v>
      </c>
      <c r="F257" s="70"/>
      <c r="G257" s="70">
        <v>-781.56</v>
      </c>
      <c r="H257" s="70">
        <v>10.56</v>
      </c>
      <c r="I257" s="70">
        <v>9.64</v>
      </c>
      <c r="J257" s="70">
        <v>0.3</v>
      </c>
      <c r="K257" s="70">
        <v>-8.91</v>
      </c>
      <c r="L257" s="70">
        <v>5.17</v>
      </c>
      <c r="M257" s="68">
        <f t="shared" si="3"/>
        <v>781.56</v>
      </c>
    </row>
    <row r="258" spans="1:13" x14ac:dyDescent="0.25">
      <c r="A258" s="70">
        <v>1887</v>
      </c>
      <c r="B258" s="70" t="s">
        <v>229</v>
      </c>
      <c r="C258" s="70">
        <v>0</v>
      </c>
      <c r="D258" s="70" t="s">
        <v>1317</v>
      </c>
      <c r="E258" s="70">
        <v>4</v>
      </c>
      <c r="F258" s="70"/>
      <c r="G258" s="70">
        <v>-672.57</v>
      </c>
      <c r="H258" s="70">
        <v>-11.29</v>
      </c>
      <c r="I258" s="70">
        <v>9.59</v>
      </c>
      <c r="J258" s="70">
        <v>0.31</v>
      </c>
      <c r="K258" s="70">
        <v>-12.63</v>
      </c>
      <c r="L258" s="70">
        <v>5.87</v>
      </c>
      <c r="M258" s="68">
        <f t="shared" ref="M258:M321" si="4">G258*-1</f>
        <v>672.57</v>
      </c>
    </row>
    <row r="259" spans="1:13" x14ac:dyDescent="0.25">
      <c r="A259" s="70">
        <v>1889</v>
      </c>
      <c r="B259" s="70" t="s">
        <v>229</v>
      </c>
      <c r="C259" s="70">
        <v>0</v>
      </c>
      <c r="D259" s="70" t="s">
        <v>1321</v>
      </c>
      <c r="E259" s="70">
        <v>4</v>
      </c>
      <c r="F259" s="70"/>
      <c r="G259" s="70">
        <v>-428.36</v>
      </c>
      <c r="H259" s="70">
        <v>-9.82</v>
      </c>
      <c r="I259" s="70">
        <v>9.49</v>
      </c>
      <c r="J259" s="70">
        <v>-0.41</v>
      </c>
      <c r="K259" s="70">
        <v>-14.45</v>
      </c>
      <c r="L259" s="70">
        <v>5.2</v>
      </c>
      <c r="M259" s="68">
        <f t="shared" si="4"/>
        <v>428.36</v>
      </c>
    </row>
    <row r="260" spans="1:13" x14ac:dyDescent="0.25">
      <c r="A260" s="70">
        <v>1762</v>
      </c>
      <c r="B260" s="70" t="s">
        <v>229</v>
      </c>
      <c r="C260" s="70">
        <v>0</v>
      </c>
      <c r="D260" s="70" t="s">
        <v>1198</v>
      </c>
      <c r="E260" s="70">
        <v>0</v>
      </c>
      <c r="F260" s="70"/>
      <c r="G260" s="70">
        <v>162.69</v>
      </c>
      <c r="H260" s="70">
        <v>4.59</v>
      </c>
      <c r="I260" s="70">
        <v>9.4700000000000006</v>
      </c>
      <c r="J260" s="70">
        <v>0.17</v>
      </c>
      <c r="K260" s="70">
        <v>18.68</v>
      </c>
      <c r="L260" s="70">
        <v>2.68</v>
      </c>
      <c r="M260" s="68">
        <f t="shared" si="4"/>
        <v>-162.69</v>
      </c>
    </row>
    <row r="261" spans="1:13" x14ac:dyDescent="0.25">
      <c r="A261" s="70">
        <v>2004</v>
      </c>
      <c r="B261" s="70" t="s">
        <v>229</v>
      </c>
      <c r="C261" s="70">
        <v>0</v>
      </c>
      <c r="D261" s="70" t="s">
        <v>1423</v>
      </c>
      <c r="E261" s="70">
        <v>4</v>
      </c>
      <c r="F261" s="70"/>
      <c r="G261" s="70">
        <v>266.66000000000003</v>
      </c>
      <c r="H261" s="70">
        <v>-5.84</v>
      </c>
      <c r="I261" s="70">
        <v>9.4600000000000009</v>
      </c>
      <c r="J261" s="70">
        <v>0.2</v>
      </c>
      <c r="K261" s="70">
        <v>10.19</v>
      </c>
      <c r="L261" s="70">
        <v>3.32</v>
      </c>
      <c r="M261" s="68">
        <f t="shared" si="4"/>
        <v>-266.66000000000003</v>
      </c>
    </row>
    <row r="262" spans="1:13" x14ac:dyDescent="0.25">
      <c r="A262" s="70">
        <v>2303</v>
      </c>
      <c r="B262" s="70" t="s">
        <v>229</v>
      </c>
      <c r="C262" s="70">
        <v>0</v>
      </c>
      <c r="D262" s="70" t="s">
        <v>1753</v>
      </c>
      <c r="E262" s="70">
        <v>4</v>
      </c>
      <c r="F262" s="70"/>
      <c r="G262" s="70">
        <v>-426.43</v>
      </c>
      <c r="H262" s="70">
        <v>-9.86</v>
      </c>
      <c r="I262" s="70">
        <v>9.43</v>
      </c>
      <c r="J262" s="70">
        <v>-0.41</v>
      </c>
      <c r="K262" s="70">
        <v>-14.54</v>
      </c>
      <c r="L262" s="70">
        <v>5.23</v>
      </c>
      <c r="M262" s="68">
        <f t="shared" si="4"/>
        <v>426.43</v>
      </c>
    </row>
    <row r="263" spans="1:13" x14ac:dyDescent="0.25">
      <c r="A263" s="70">
        <v>2012</v>
      </c>
      <c r="B263" s="70" t="s">
        <v>229</v>
      </c>
      <c r="C263" s="70">
        <v>0</v>
      </c>
      <c r="D263" s="70" t="s">
        <v>1438</v>
      </c>
      <c r="E263" s="70">
        <v>0</v>
      </c>
      <c r="F263" s="70"/>
      <c r="G263" s="70">
        <v>-49.43</v>
      </c>
      <c r="H263" s="70">
        <v>-8.19</v>
      </c>
      <c r="I263" s="70">
        <v>9.41</v>
      </c>
      <c r="J263" s="70">
        <v>-0.56999999999999995</v>
      </c>
      <c r="K263" s="70">
        <v>-4.74</v>
      </c>
      <c r="L263" s="70">
        <v>-4.21</v>
      </c>
      <c r="M263" s="68">
        <f t="shared" si="4"/>
        <v>49.43</v>
      </c>
    </row>
    <row r="264" spans="1:13" x14ac:dyDescent="0.25">
      <c r="A264" s="70">
        <v>2499</v>
      </c>
      <c r="B264" s="70" t="s">
        <v>229</v>
      </c>
      <c r="C264" s="70">
        <v>0</v>
      </c>
      <c r="D264" s="70" t="s">
        <v>1951</v>
      </c>
      <c r="E264" s="70">
        <v>4</v>
      </c>
      <c r="F264" s="70"/>
      <c r="G264" s="70">
        <v>-688.41</v>
      </c>
      <c r="H264" s="70">
        <v>11.32</v>
      </c>
      <c r="I264" s="70">
        <v>9.41</v>
      </c>
      <c r="J264" s="70">
        <v>0.31</v>
      </c>
      <c r="K264" s="70">
        <v>-12.15</v>
      </c>
      <c r="L264" s="70">
        <v>-5.38</v>
      </c>
      <c r="M264" s="68">
        <f t="shared" si="4"/>
        <v>688.41</v>
      </c>
    </row>
    <row r="265" spans="1:13" x14ac:dyDescent="0.25">
      <c r="A265" s="70">
        <v>2280</v>
      </c>
      <c r="B265" s="70" t="s">
        <v>229</v>
      </c>
      <c r="C265" s="70">
        <v>0</v>
      </c>
      <c r="D265" s="70" t="s">
        <v>1711</v>
      </c>
      <c r="E265" s="70">
        <v>4</v>
      </c>
      <c r="F265" s="70"/>
      <c r="G265" s="70">
        <v>266.89999999999998</v>
      </c>
      <c r="H265" s="70">
        <v>-5.86</v>
      </c>
      <c r="I265" s="70">
        <v>9.3800000000000008</v>
      </c>
      <c r="J265" s="70">
        <v>0.2</v>
      </c>
      <c r="K265" s="70">
        <v>10.220000000000001</v>
      </c>
      <c r="L265" s="70">
        <v>3.33</v>
      </c>
      <c r="M265" s="68">
        <f t="shared" si="4"/>
        <v>-266.89999999999998</v>
      </c>
    </row>
    <row r="266" spans="1:13" x14ac:dyDescent="0.25">
      <c r="A266" s="70">
        <v>1944</v>
      </c>
      <c r="B266" s="70" t="s">
        <v>229</v>
      </c>
      <c r="C266" s="70">
        <v>0</v>
      </c>
      <c r="D266" s="70" t="s">
        <v>1368</v>
      </c>
      <c r="E266" s="70">
        <v>0</v>
      </c>
      <c r="F266" s="70"/>
      <c r="G266" s="70">
        <v>-249.32</v>
      </c>
      <c r="H266" s="70">
        <v>-8.91</v>
      </c>
      <c r="I266" s="70">
        <v>9.33</v>
      </c>
      <c r="J266" s="70">
        <v>-0.51</v>
      </c>
      <c r="K266" s="70">
        <v>-11.46</v>
      </c>
      <c r="L266" s="70">
        <v>-4.7</v>
      </c>
      <c r="M266" s="68">
        <f t="shared" si="4"/>
        <v>249.32</v>
      </c>
    </row>
    <row r="267" spans="1:13" x14ac:dyDescent="0.25">
      <c r="A267" s="70">
        <v>2488</v>
      </c>
      <c r="B267" s="70" t="s">
        <v>229</v>
      </c>
      <c r="C267" s="70">
        <v>0</v>
      </c>
      <c r="D267" s="70" t="s">
        <v>1928</v>
      </c>
      <c r="E267" s="70">
        <v>0</v>
      </c>
      <c r="F267" s="70"/>
      <c r="G267" s="70">
        <v>320.7</v>
      </c>
      <c r="H267" s="70">
        <v>-6.74</v>
      </c>
      <c r="I267" s="70">
        <v>9.2799999999999994</v>
      </c>
      <c r="J267" s="70">
        <v>0.23</v>
      </c>
      <c r="K267" s="70">
        <v>11.21</v>
      </c>
      <c r="L267" s="70">
        <v>-2.97</v>
      </c>
      <c r="M267" s="68">
        <f t="shared" si="4"/>
        <v>-320.7</v>
      </c>
    </row>
    <row r="268" spans="1:13" x14ac:dyDescent="0.25">
      <c r="A268" s="70">
        <v>2302</v>
      </c>
      <c r="B268" s="70" t="s">
        <v>229</v>
      </c>
      <c r="C268" s="70">
        <v>0</v>
      </c>
      <c r="D268" s="70" t="s">
        <v>1751</v>
      </c>
      <c r="E268" s="70">
        <v>4</v>
      </c>
      <c r="F268" s="70"/>
      <c r="G268" s="70">
        <v>-563.41</v>
      </c>
      <c r="H268" s="70">
        <v>-10.87</v>
      </c>
      <c r="I268" s="70">
        <v>9.26</v>
      </c>
      <c r="J268" s="70">
        <v>0.33</v>
      </c>
      <c r="K268" s="70">
        <v>-14.5</v>
      </c>
      <c r="L268" s="70">
        <v>5.72</v>
      </c>
      <c r="M268" s="68">
        <f t="shared" si="4"/>
        <v>563.41</v>
      </c>
    </row>
    <row r="269" spans="1:13" x14ac:dyDescent="0.25">
      <c r="A269" s="70">
        <v>1969</v>
      </c>
      <c r="B269" s="70" t="s">
        <v>229</v>
      </c>
      <c r="C269" s="70">
        <v>0</v>
      </c>
      <c r="D269" s="70" t="s">
        <v>1415</v>
      </c>
      <c r="E269" s="70">
        <v>4</v>
      </c>
      <c r="F269" s="70"/>
      <c r="G269" s="70">
        <v>149.63</v>
      </c>
      <c r="H269" s="70">
        <v>4.59</v>
      </c>
      <c r="I269" s="70">
        <v>9.25</v>
      </c>
      <c r="J269" s="70">
        <v>0.17</v>
      </c>
      <c r="K269" s="70">
        <v>11.49</v>
      </c>
      <c r="L269" s="70">
        <v>1.99</v>
      </c>
      <c r="M269" s="68">
        <f t="shared" si="4"/>
        <v>-149.63</v>
      </c>
    </row>
    <row r="270" spans="1:13" x14ac:dyDescent="0.25">
      <c r="A270" s="70">
        <v>2288</v>
      </c>
      <c r="B270" s="70" t="s">
        <v>229</v>
      </c>
      <c r="C270" s="70">
        <v>0</v>
      </c>
      <c r="D270" s="70" t="s">
        <v>1726</v>
      </c>
      <c r="E270" s="70">
        <v>0</v>
      </c>
      <c r="F270" s="70"/>
      <c r="G270" s="70">
        <v>-50.13</v>
      </c>
      <c r="H270" s="70">
        <v>-8.18</v>
      </c>
      <c r="I270" s="70">
        <v>9.25</v>
      </c>
      <c r="J270" s="70">
        <v>-0.56999999999999995</v>
      </c>
      <c r="K270" s="70">
        <v>-4.84</v>
      </c>
      <c r="L270" s="70">
        <v>-4.2</v>
      </c>
      <c r="M270" s="68">
        <f t="shared" si="4"/>
        <v>50.13</v>
      </c>
    </row>
    <row r="271" spans="1:13" x14ac:dyDescent="0.25">
      <c r="A271" s="70">
        <v>2033</v>
      </c>
      <c r="B271" s="70" t="s">
        <v>229</v>
      </c>
      <c r="C271" s="70">
        <v>0</v>
      </c>
      <c r="D271" s="70" t="s">
        <v>1477</v>
      </c>
      <c r="E271" s="70">
        <v>4</v>
      </c>
      <c r="F271" s="70"/>
      <c r="G271" s="70">
        <v>411.78</v>
      </c>
      <c r="H271" s="70">
        <v>-7.38</v>
      </c>
      <c r="I271" s="70">
        <v>9.24</v>
      </c>
      <c r="J271" s="70">
        <v>-0.41</v>
      </c>
      <c r="K271" s="70">
        <v>4.08</v>
      </c>
      <c r="L271" s="70">
        <v>3.32</v>
      </c>
      <c r="M271" s="68">
        <f t="shared" si="4"/>
        <v>-411.78</v>
      </c>
    </row>
    <row r="272" spans="1:13" x14ac:dyDescent="0.25">
      <c r="A272" s="70">
        <v>2245</v>
      </c>
      <c r="B272" s="70" t="s">
        <v>229</v>
      </c>
      <c r="C272" s="70">
        <v>0</v>
      </c>
      <c r="D272" s="70" t="s">
        <v>1703</v>
      </c>
      <c r="E272" s="70">
        <v>4</v>
      </c>
      <c r="F272" s="70"/>
      <c r="G272" s="70">
        <v>148.83000000000001</v>
      </c>
      <c r="H272" s="70">
        <v>4.5999999999999996</v>
      </c>
      <c r="I272" s="70">
        <v>9.2100000000000009</v>
      </c>
      <c r="J272" s="70">
        <v>0.17</v>
      </c>
      <c r="K272" s="70">
        <v>11.51</v>
      </c>
      <c r="L272" s="70">
        <v>1.99</v>
      </c>
      <c r="M272" s="68">
        <f t="shared" si="4"/>
        <v>-148.83000000000001</v>
      </c>
    </row>
    <row r="273" spans="1:13" x14ac:dyDescent="0.25">
      <c r="A273" s="70">
        <v>2073</v>
      </c>
      <c r="B273" s="70" t="s">
        <v>229</v>
      </c>
      <c r="C273" s="70">
        <v>0</v>
      </c>
      <c r="D273" s="70" t="s">
        <v>1495</v>
      </c>
      <c r="E273" s="70">
        <v>4</v>
      </c>
      <c r="F273" s="70"/>
      <c r="G273" s="70">
        <v>264.7</v>
      </c>
      <c r="H273" s="70">
        <v>-5.84</v>
      </c>
      <c r="I273" s="70">
        <v>9.19</v>
      </c>
      <c r="J273" s="70">
        <v>0.2</v>
      </c>
      <c r="K273" s="70">
        <v>10.09</v>
      </c>
      <c r="L273" s="70">
        <v>3.32</v>
      </c>
      <c r="M273" s="68">
        <f t="shared" si="4"/>
        <v>-264.7</v>
      </c>
    </row>
    <row r="274" spans="1:13" x14ac:dyDescent="0.25">
      <c r="A274" s="70">
        <v>2074</v>
      </c>
      <c r="B274" s="70" t="s">
        <v>229</v>
      </c>
      <c r="C274" s="70">
        <v>0</v>
      </c>
      <c r="D274" s="70" t="s">
        <v>1497</v>
      </c>
      <c r="E274" s="70">
        <v>4</v>
      </c>
      <c r="F274" s="70"/>
      <c r="G274" s="70">
        <v>318.52999999999997</v>
      </c>
      <c r="H274" s="70">
        <v>-6.72</v>
      </c>
      <c r="I274" s="70">
        <v>9.19</v>
      </c>
      <c r="J274" s="70">
        <v>0.23</v>
      </c>
      <c r="K274" s="70">
        <v>3.71</v>
      </c>
      <c r="L274" s="70">
        <v>3.8</v>
      </c>
      <c r="M274" s="68">
        <f t="shared" si="4"/>
        <v>-318.52999999999997</v>
      </c>
    </row>
    <row r="275" spans="1:13" x14ac:dyDescent="0.25">
      <c r="A275" s="70">
        <v>2171</v>
      </c>
      <c r="B275" s="70" t="s">
        <v>229</v>
      </c>
      <c r="C275" s="70">
        <v>0</v>
      </c>
      <c r="D275" s="70" t="s">
        <v>1621</v>
      </c>
      <c r="E275" s="70">
        <v>4</v>
      </c>
      <c r="F275" s="70"/>
      <c r="G275" s="70">
        <v>411.27</v>
      </c>
      <c r="H275" s="70">
        <v>-7.37</v>
      </c>
      <c r="I275" s="70">
        <v>9.19</v>
      </c>
      <c r="J275" s="70">
        <v>-0.41</v>
      </c>
      <c r="K275" s="70">
        <v>4.09</v>
      </c>
      <c r="L275" s="70">
        <v>3.31</v>
      </c>
      <c r="M275" s="68">
        <f t="shared" si="4"/>
        <v>-411.27</v>
      </c>
    </row>
    <row r="276" spans="1:13" x14ac:dyDescent="0.25">
      <c r="A276" s="70">
        <v>2358</v>
      </c>
      <c r="B276" s="70" t="s">
        <v>229</v>
      </c>
      <c r="C276" s="70">
        <v>0</v>
      </c>
      <c r="D276" s="70" t="s">
        <v>1800</v>
      </c>
      <c r="E276" s="70">
        <v>0</v>
      </c>
      <c r="F276" s="70"/>
      <c r="G276" s="70">
        <v>-250.84</v>
      </c>
      <c r="H276" s="70">
        <v>-8.8800000000000008</v>
      </c>
      <c r="I276" s="70">
        <v>9.19</v>
      </c>
      <c r="J276" s="70">
        <v>-0.51</v>
      </c>
      <c r="K276" s="70">
        <v>-11.42</v>
      </c>
      <c r="L276" s="70">
        <v>-4.68</v>
      </c>
      <c r="M276" s="68">
        <f t="shared" si="4"/>
        <v>250.84</v>
      </c>
    </row>
    <row r="277" spans="1:13" x14ac:dyDescent="0.25">
      <c r="A277" s="70">
        <v>1888</v>
      </c>
      <c r="B277" s="70" t="s">
        <v>229</v>
      </c>
      <c r="C277" s="70">
        <v>0</v>
      </c>
      <c r="D277" s="70" t="s">
        <v>1319</v>
      </c>
      <c r="E277" s="70">
        <v>4</v>
      </c>
      <c r="F277" s="70"/>
      <c r="G277" s="70">
        <v>-564.9</v>
      </c>
      <c r="H277" s="70">
        <v>-10.83</v>
      </c>
      <c r="I277" s="70">
        <v>9.18</v>
      </c>
      <c r="J277" s="70">
        <v>0.33</v>
      </c>
      <c r="K277" s="70">
        <v>-14.44</v>
      </c>
      <c r="L277" s="70">
        <v>5.69</v>
      </c>
      <c r="M277" s="68">
        <f t="shared" si="4"/>
        <v>564.9</v>
      </c>
    </row>
    <row r="278" spans="1:13" x14ac:dyDescent="0.25">
      <c r="A278" s="70">
        <v>2351</v>
      </c>
      <c r="B278" s="70" t="s">
        <v>229</v>
      </c>
      <c r="C278" s="70">
        <v>0</v>
      </c>
      <c r="D278" s="70" t="s">
        <v>1787</v>
      </c>
      <c r="E278" s="70">
        <v>4</v>
      </c>
      <c r="F278" s="70"/>
      <c r="G278" s="70">
        <v>357.83</v>
      </c>
      <c r="H278" s="70">
        <v>-7.16</v>
      </c>
      <c r="I278" s="70">
        <v>9.18</v>
      </c>
      <c r="J278" s="70">
        <v>-0.27</v>
      </c>
      <c r="K278" s="70">
        <v>3.77</v>
      </c>
      <c r="L278" s="70">
        <v>4.0199999999999996</v>
      </c>
      <c r="M278" s="68">
        <f t="shared" si="4"/>
        <v>-357.83</v>
      </c>
    </row>
    <row r="279" spans="1:13" x14ac:dyDescent="0.25">
      <c r="A279" s="70">
        <v>2024</v>
      </c>
      <c r="B279" s="70" t="s">
        <v>229</v>
      </c>
      <c r="C279" s="70">
        <v>0</v>
      </c>
      <c r="D279" s="70" t="s">
        <v>1459</v>
      </c>
      <c r="E279" s="70">
        <v>4</v>
      </c>
      <c r="F279" s="70"/>
      <c r="G279" s="70">
        <v>-743.36</v>
      </c>
      <c r="H279" s="70">
        <v>10.55</v>
      </c>
      <c r="I279" s="70">
        <v>9.17</v>
      </c>
      <c r="J279" s="70">
        <v>0.3</v>
      </c>
      <c r="K279" s="70">
        <v>-8.61</v>
      </c>
      <c r="L279" s="70">
        <v>5.34</v>
      </c>
      <c r="M279" s="68">
        <f t="shared" si="4"/>
        <v>743.36</v>
      </c>
    </row>
    <row r="280" spans="1:13" x14ac:dyDescent="0.25">
      <c r="A280" s="70">
        <v>2212</v>
      </c>
      <c r="B280" s="70" t="s">
        <v>229</v>
      </c>
      <c r="C280" s="70">
        <v>0</v>
      </c>
      <c r="D280" s="70" t="s">
        <v>1641</v>
      </c>
      <c r="E280" s="70">
        <v>4</v>
      </c>
      <c r="F280" s="70"/>
      <c r="G280" s="70">
        <v>318.89999999999998</v>
      </c>
      <c r="H280" s="70">
        <v>-6.73</v>
      </c>
      <c r="I280" s="70">
        <v>9.17</v>
      </c>
      <c r="J280" s="70">
        <v>0.23</v>
      </c>
      <c r="K280" s="70">
        <v>3.71</v>
      </c>
      <c r="L280" s="70">
        <v>3.81</v>
      </c>
      <c r="M280" s="68">
        <f t="shared" si="4"/>
        <v>-318.89999999999998</v>
      </c>
    </row>
    <row r="281" spans="1:13" x14ac:dyDescent="0.25">
      <c r="A281" s="70">
        <v>1937</v>
      </c>
      <c r="B281" s="70" t="s">
        <v>229</v>
      </c>
      <c r="C281" s="70">
        <v>0</v>
      </c>
      <c r="D281" s="70" t="s">
        <v>1355</v>
      </c>
      <c r="E281" s="70">
        <v>4</v>
      </c>
      <c r="F281" s="70"/>
      <c r="G281" s="70">
        <v>357.45</v>
      </c>
      <c r="H281" s="70">
        <v>7.18</v>
      </c>
      <c r="I281" s="70">
        <v>9.16</v>
      </c>
      <c r="J281" s="70">
        <v>0.27</v>
      </c>
      <c r="K281" s="70">
        <v>3.74</v>
      </c>
      <c r="L281" s="70">
        <v>-4.03</v>
      </c>
      <c r="M281" s="68">
        <f t="shared" si="4"/>
        <v>-357.45</v>
      </c>
    </row>
    <row r="282" spans="1:13" x14ac:dyDescent="0.25">
      <c r="A282" s="70">
        <v>2211</v>
      </c>
      <c r="B282" s="70" t="s">
        <v>229</v>
      </c>
      <c r="C282" s="70">
        <v>0</v>
      </c>
      <c r="D282" s="70" t="s">
        <v>1639</v>
      </c>
      <c r="E282" s="70">
        <v>4</v>
      </c>
      <c r="F282" s="70"/>
      <c r="G282" s="70">
        <v>265</v>
      </c>
      <c r="H282" s="70">
        <v>-5.85</v>
      </c>
      <c r="I282" s="70">
        <v>9.16</v>
      </c>
      <c r="J282" s="70">
        <v>0.2</v>
      </c>
      <c r="K282" s="70">
        <v>10.1</v>
      </c>
      <c r="L282" s="70">
        <v>3.33</v>
      </c>
      <c r="M282" s="68">
        <f t="shared" si="4"/>
        <v>-265</v>
      </c>
    </row>
    <row r="283" spans="1:13" x14ac:dyDescent="0.25">
      <c r="A283" s="70">
        <v>1798</v>
      </c>
      <c r="B283" s="70" t="s">
        <v>229</v>
      </c>
      <c r="C283" s="70">
        <v>0</v>
      </c>
      <c r="D283" s="70" t="s">
        <v>1208</v>
      </c>
      <c r="E283" s="70">
        <v>0</v>
      </c>
      <c r="F283" s="70"/>
      <c r="G283" s="70">
        <v>320.39999999999998</v>
      </c>
      <c r="H283" s="70">
        <v>-6.7</v>
      </c>
      <c r="I283" s="70">
        <v>9.15</v>
      </c>
      <c r="J283" s="70">
        <v>0.23</v>
      </c>
      <c r="K283" s="70">
        <v>11.07</v>
      </c>
      <c r="L283" s="70">
        <v>-2.96</v>
      </c>
      <c r="M283" s="68">
        <f t="shared" si="4"/>
        <v>-320.39999999999998</v>
      </c>
    </row>
    <row r="284" spans="1:13" x14ac:dyDescent="0.25">
      <c r="A284" s="70">
        <v>1809</v>
      </c>
      <c r="B284" s="70" t="s">
        <v>229</v>
      </c>
      <c r="C284" s="70">
        <v>0</v>
      </c>
      <c r="D284" s="70" t="s">
        <v>1231</v>
      </c>
      <c r="E284" s="70">
        <v>4</v>
      </c>
      <c r="F284" s="70"/>
      <c r="G284" s="70">
        <v>-687.62</v>
      </c>
      <c r="H284" s="70">
        <v>-11.37</v>
      </c>
      <c r="I284" s="70">
        <v>9.08</v>
      </c>
      <c r="J284" s="70">
        <v>0.3</v>
      </c>
      <c r="K284" s="70">
        <v>-12.01</v>
      </c>
      <c r="L284" s="70">
        <v>5.39</v>
      </c>
      <c r="M284" s="68">
        <f t="shared" si="4"/>
        <v>687.62</v>
      </c>
    </row>
    <row r="285" spans="1:13" x14ac:dyDescent="0.25">
      <c r="A285" s="70">
        <v>1759</v>
      </c>
      <c r="B285" s="70" t="s">
        <v>229</v>
      </c>
      <c r="C285" s="70">
        <v>0</v>
      </c>
      <c r="D285" s="70" t="s">
        <v>1193</v>
      </c>
      <c r="E285" s="70">
        <v>4</v>
      </c>
      <c r="F285" s="70"/>
      <c r="G285" s="70">
        <v>359.59</v>
      </c>
      <c r="H285" s="70">
        <v>-7.2</v>
      </c>
      <c r="I285" s="70">
        <v>9.07</v>
      </c>
      <c r="J285" s="70">
        <v>-0.27</v>
      </c>
      <c r="K285" s="70">
        <v>6.8</v>
      </c>
      <c r="L285" s="70">
        <v>3.16</v>
      </c>
      <c r="M285" s="68">
        <f t="shared" si="4"/>
        <v>-359.59</v>
      </c>
    </row>
    <row r="286" spans="1:13" x14ac:dyDescent="0.25">
      <c r="A286" s="70">
        <v>2487</v>
      </c>
      <c r="B286" s="70" t="s">
        <v>229</v>
      </c>
      <c r="C286" s="70">
        <v>0</v>
      </c>
      <c r="D286" s="70" t="s">
        <v>1926</v>
      </c>
      <c r="E286" s="70">
        <v>0</v>
      </c>
      <c r="F286" s="70"/>
      <c r="G286" s="70">
        <v>266.43</v>
      </c>
      <c r="H286" s="70">
        <v>-5.86</v>
      </c>
      <c r="I286" s="70">
        <v>9.07</v>
      </c>
      <c r="J286" s="70">
        <v>0.2</v>
      </c>
      <c r="K286" s="70">
        <v>17.63</v>
      </c>
      <c r="L286" s="70">
        <v>-2.57</v>
      </c>
      <c r="M286" s="68">
        <f t="shared" si="4"/>
        <v>-266.43</v>
      </c>
    </row>
    <row r="287" spans="1:13" x14ac:dyDescent="0.25">
      <c r="A287" s="70">
        <v>2143</v>
      </c>
      <c r="B287" s="70" t="s">
        <v>229</v>
      </c>
      <c r="C287" s="70">
        <v>0</v>
      </c>
      <c r="D287" s="70" t="s">
        <v>1569</v>
      </c>
      <c r="E287" s="70">
        <v>4</v>
      </c>
      <c r="F287" s="70"/>
      <c r="G287" s="70">
        <v>317.06</v>
      </c>
      <c r="H287" s="70">
        <v>-6.73</v>
      </c>
      <c r="I287" s="70">
        <v>9.0500000000000007</v>
      </c>
      <c r="J287" s="70">
        <v>0.23</v>
      </c>
      <c r="K287" s="70">
        <v>3.46</v>
      </c>
      <c r="L287" s="70">
        <v>3.81</v>
      </c>
      <c r="M287" s="68">
        <f t="shared" si="4"/>
        <v>-317.06</v>
      </c>
    </row>
    <row r="288" spans="1:13" x14ac:dyDescent="0.25">
      <c r="A288" s="70">
        <v>2449</v>
      </c>
      <c r="B288" s="70" t="s">
        <v>229</v>
      </c>
      <c r="C288" s="70">
        <v>0</v>
      </c>
      <c r="D288" s="70" t="s">
        <v>1913</v>
      </c>
      <c r="E288" s="70">
        <v>4</v>
      </c>
      <c r="F288" s="70"/>
      <c r="G288" s="70">
        <v>359.11</v>
      </c>
      <c r="H288" s="70">
        <v>7.22</v>
      </c>
      <c r="I288" s="70">
        <v>9.0299999999999994</v>
      </c>
      <c r="J288" s="70">
        <v>0.27</v>
      </c>
      <c r="K288" s="70">
        <v>6.8</v>
      </c>
      <c r="L288" s="70">
        <v>-3.16</v>
      </c>
      <c r="M288" s="68">
        <f t="shared" si="4"/>
        <v>-359.11</v>
      </c>
    </row>
    <row r="289" spans="1:13" x14ac:dyDescent="0.25">
      <c r="A289" s="70">
        <v>2014</v>
      </c>
      <c r="B289" s="70" t="s">
        <v>229</v>
      </c>
      <c r="C289" s="70">
        <v>0</v>
      </c>
      <c r="D289" s="70" t="s">
        <v>1443</v>
      </c>
      <c r="E289" s="70">
        <v>4</v>
      </c>
      <c r="F289" s="70"/>
      <c r="G289" s="70">
        <v>-421.22</v>
      </c>
      <c r="H289" s="70">
        <v>-9.84</v>
      </c>
      <c r="I289" s="70">
        <v>9</v>
      </c>
      <c r="J289" s="70">
        <v>-0.4</v>
      </c>
      <c r="K289" s="70">
        <v>-14.34</v>
      </c>
      <c r="L289" s="70">
        <v>4.58</v>
      </c>
      <c r="M289" s="68">
        <f t="shared" si="4"/>
        <v>421.22</v>
      </c>
    </row>
    <row r="290" spans="1:13" x14ac:dyDescent="0.25">
      <c r="A290" s="70">
        <v>64</v>
      </c>
      <c r="B290" s="70" t="s">
        <v>229</v>
      </c>
      <c r="C290" s="70">
        <v>0</v>
      </c>
      <c r="D290" s="70" t="s">
        <v>1155</v>
      </c>
      <c r="E290" s="70">
        <v>4</v>
      </c>
      <c r="F290" s="70"/>
      <c r="G290" s="70">
        <v>-223.13</v>
      </c>
      <c r="H290" s="70">
        <v>-2.36</v>
      </c>
      <c r="I290" s="70">
        <v>8.99</v>
      </c>
      <c r="J290" s="70">
        <v>-0.14000000000000001</v>
      </c>
      <c r="K290" s="70">
        <v>-9.1999999999999993</v>
      </c>
      <c r="L290" s="70">
        <v>1.1299999999999999</v>
      </c>
      <c r="M290" s="68">
        <f t="shared" si="4"/>
        <v>223.13</v>
      </c>
    </row>
    <row r="291" spans="1:13" x14ac:dyDescent="0.25">
      <c r="A291" s="70">
        <v>2162</v>
      </c>
      <c r="B291" s="70" t="s">
        <v>229</v>
      </c>
      <c r="C291" s="70">
        <v>0</v>
      </c>
      <c r="D291" s="70" t="s">
        <v>1603</v>
      </c>
      <c r="E291" s="70">
        <v>4</v>
      </c>
      <c r="F291" s="70"/>
      <c r="G291" s="70">
        <v>-742.92</v>
      </c>
      <c r="H291" s="70">
        <v>-10.56</v>
      </c>
      <c r="I291" s="70">
        <v>8.99</v>
      </c>
      <c r="J291" s="70">
        <v>0.3</v>
      </c>
      <c r="K291" s="70">
        <v>-8.6300000000000008</v>
      </c>
      <c r="L291" s="70">
        <v>5.34</v>
      </c>
      <c r="M291" s="68">
        <f t="shared" si="4"/>
        <v>742.92</v>
      </c>
    </row>
    <row r="292" spans="1:13" x14ac:dyDescent="0.25">
      <c r="A292" s="70">
        <v>2290</v>
      </c>
      <c r="B292" s="70" t="s">
        <v>229</v>
      </c>
      <c r="C292" s="70">
        <v>0</v>
      </c>
      <c r="D292" s="70" t="s">
        <v>1731</v>
      </c>
      <c r="E292" s="70">
        <v>4</v>
      </c>
      <c r="F292" s="70"/>
      <c r="G292" s="70">
        <v>-423.11</v>
      </c>
      <c r="H292" s="70">
        <v>-9.82</v>
      </c>
      <c r="I292" s="70">
        <v>8.9700000000000006</v>
      </c>
      <c r="J292" s="70">
        <v>-0.4</v>
      </c>
      <c r="K292" s="70">
        <v>-14.43</v>
      </c>
      <c r="L292" s="70">
        <v>4.57</v>
      </c>
      <c r="M292" s="68">
        <f t="shared" si="4"/>
        <v>423.11</v>
      </c>
    </row>
    <row r="293" spans="1:13" x14ac:dyDescent="0.25">
      <c r="A293" s="70">
        <v>2142</v>
      </c>
      <c r="B293" s="70" t="s">
        <v>229</v>
      </c>
      <c r="C293" s="70">
        <v>0</v>
      </c>
      <c r="D293" s="70" t="s">
        <v>1567</v>
      </c>
      <c r="E293" s="70">
        <v>4</v>
      </c>
      <c r="F293" s="70"/>
      <c r="G293" s="70">
        <v>263.12</v>
      </c>
      <c r="H293" s="70">
        <v>-5.85</v>
      </c>
      <c r="I293" s="70">
        <v>8.94</v>
      </c>
      <c r="J293" s="70">
        <v>0.2</v>
      </c>
      <c r="K293" s="70">
        <v>9.99</v>
      </c>
      <c r="L293" s="70">
        <v>3.32</v>
      </c>
      <c r="M293" s="68">
        <f t="shared" si="4"/>
        <v>-263.12</v>
      </c>
    </row>
    <row r="294" spans="1:13" x14ac:dyDescent="0.25">
      <c r="A294" s="70">
        <v>2566</v>
      </c>
      <c r="B294" s="70" t="s">
        <v>229</v>
      </c>
      <c r="C294" s="70">
        <v>0</v>
      </c>
      <c r="D294" s="70" t="s">
        <v>2019</v>
      </c>
      <c r="E294" s="70">
        <v>4</v>
      </c>
      <c r="F294" s="70"/>
      <c r="G294" s="70">
        <v>-223.82</v>
      </c>
      <c r="H294" s="70">
        <v>-2.35</v>
      </c>
      <c r="I294" s="70">
        <v>8.94</v>
      </c>
      <c r="J294" s="70">
        <v>-0.14000000000000001</v>
      </c>
      <c r="K294" s="70">
        <v>-9.24</v>
      </c>
      <c r="L294" s="70">
        <v>1.1299999999999999</v>
      </c>
      <c r="M294" s="68">
        <f t="shared" si="4"/>
        <v>223.82</v>
      </c>
    </row>
    <row r="295" spans="1:13" x14ac:dyDescent="0.25">
      <c r="A295" s="70">
        <v>1869</v>
      </c>
      <c r="B295" s="70" t="s">
        <v>229</v>
      </c>
      <c r="C295" s="70">
        <v>0</v>
      </c>
      <c r="D295" s="70" t="s">
        <v>1285</v>
      </c>
      <c r="E295" s="70">
        <v>4</v>
      </c>
      <c r="F295" s="70"/>
      <c r="G295" s="70">
        <v>395.21</v>
      </c>
      <c r="H295" s="70">
        <v>-7.29</v>
      </c>
      <c r="I295" s="70">
        <v>8.8800000000000008</v>
      </c>
      <c r="J295" s="70">
        <v>-0.33</v>
      </c>
      <c r="K295" s="70">
        <v>7.12</v>
      </c>
      <c r="L295" s="70">
        <v>4.04</v>
      </c>
      <c r="M295" s="68">
        <f t="shared" si="4"/>
        <v>-395.21</v>
      </c>
    </row>
    <row r="296" spans="1:13" x14ac:dyDescent="0.25">
      <c r="A296" s="70">
        <v>2383</v>
      </c>
      <c r="B296" s="70" t="s">
        <v>229</v>
      </c>
      <c r="C296" s="70">
        <v>0</v>
      </c>
      <c r="D296" s="70" t="s">
        <v>1846</v>
      </c>
      <c r="E296" s="70">
        <v>0</v>
      </c>
      <c r="F296" s="70"/>
      <c r="G296" s="70">
        <v>159.58000000000001</v>
      </c>
      <c r="H296" s="70">
        <v>4.6100000000000003</v>
      </c>
      <c r="I296" s="70">
        <v>8.86</v>
      </c>
      <c r="J296" s="70">
        <v>0.17</v>
      </c>
      <c r="K296" s="70">
        <v>18.47</v>
      </c>
      <c r="L296" s="70">
        <v>2.69</v>
      </c>
      <c r="M296" s="68">
        <f t="shared" si="4"/>
        <v>-159.58000000000001</v>
      </c>
    </row>
    <row r="297" spans="1:13" x14ac:dyDescent="0.25">
      <c r="A297" s="70">
        <v>63</v>
      </c>
      <c r="B297" s="70" t="s">
        <v>229</v>
      </c>
      <c r="C297" s="70">
        <v>0</v>
      </c>
      <c r="D297" s="70" t="s">
        <v>1152</v>
      </c>
      <c r="E297" s="70">
        <v>0</v>
      </c>
      <c r="F297" s="70"/>
      <c r="G297" s="70">
        <v>-131.85</v>
      </c>
      <c r="H297" s="70">
        <v>-2.14</v>
      </c>
      <c r="I297" s="70">
        <v>8.84</v>
      </c>
      <c r="J297" s="70">
        <v>-0.18</v>
      </c>
      <c r="K297" s="70">
        <v>-7.53</v>
      </c>
      <c r="L297" s="70">
        <v>-1.1000000000000001</v>
      </c>
      <c r="M297" s="68">
        <f t="shared" si="4"/>
        <v>131.85</v>
      </c>
    </row>
    <row r="298" spans="1:13" x14ac:dyDescent="0.25">
      <c r="A298" s="70">
        <v>1797</v>
      </c>
      <c r="B298" s="70" t="s">
        <v>229</v>
      </c>
      <c r="C298" s="70">
        <v>0</v>
      </c>
      <c r="D298" s="70" t="s">
        <v>1206</v>
      </c>
      <c r="E298" s="70">
        <v>0</v>
      </c>
      <c r="F298" s="70"/>
      <c r="G298" s="70">
        <v>266.18</v>
      </c>
      <c r="H298" s="70">
        <v>-5.83</v>
      </c>
      <c r="I298" s="70">
        <v>8.8000000000000007</v>
      </c>
      <c r="J298" s="70">
        <v>0.2</v>
      </c>
      <c r="K298" s="70">
        <v>17.690000000000001</v>
      </c>
      <c r="L298" s="70">
        <v>-2.56</v>
      </c>
      <c r="M298" s="68">
        <f t="shared" si="4"/>
        <v>-266.18</v>
      </c>
    </row>
    <row r="299" spans="1:13" x14ac:dyDescent="0.25">
      <c r="A299" s="70">
        <v>1965</v>
      </c>
      <c r="B299" s="70" t="s">
        <v>229</v>
      </c>
      <c r="C299" s="70">
        <v>0</v>
      </c>
      <c r="D299" s="70" t="s">
        <v>1407</v>
      </c>
      <c r="E299" s="70">
        <v>4</v>
      </c>
      <c r="F299" s="70"/>
      <c r="G299" s="70">
        <v>388.33</v>
      </c>
      <c r="H299" s="70">
        <v>-7.34</v>
      </c>
      <c r="I299" s="70">
        <v>8.74</v>
      </c>
      <c r="J299" s="70">
        <v>-0.33</v>
      </c>
      <c r="K299" s="70">
        <v>2.91</v>
      </c>
      <c r="L299" s="70">
        <v>3.23</v>
      </c>
      <c r="M299" s="68">
        <f t="shared" si="4"/>
        <v>-388.33</v>
      </c>
    </row>
    <row r="300" spans="1:13" x14ac:dyDescent="0.25">
      <c r="A300" s="70">
        <v>2421</v>
      </c>
      <c r="B300" s="70" t="s">
        <v>229</v>
      </c>
      <c r="C300" s="70">
        <v>0</v>
      </c>
      <c r="D300" s="70" t="s">
        <v>1861</v>
      </c>
      <c r="E300" s="70">
        <v>4</v>
      </c>
      <c r="F300" s="70"/>
      <c r="G300" s="70">
        <v>395.69</v>
      </c>
      <c r="H300" s="70">
        <v>-7.34</v>
      </c>
      <c r="I300" s="70">
        <v>8.74</v>
      </c>
      <c r="J300" s="70">
        <v>-0.34</v>
      </c>
      <c r="K300" s="70">
        <v>7.2</v>
      </c>
      <c r="L300" s="70">
        <v>4.07</v>
      </c>
      <c r="M300" s="68">
        <f t="shared" si="4"/>
        <v>-395.69</v>
      </c>
    </row>
    <row r="301" spans="1:13" x14ac:dyDescent="0.25">
      <c r="A301" s="70">
        <v>2565</v>
      </c>
      <c r="B301" s="70" t="s">
        <v>229</v>
      </c>
      <c r="C301" s="70">
        <v>0</v>
      </c>
      <c r="D301" s="70" t="s">
        <v>2016</v>
      </c>
      <c r="E301" s="70">
        <v>0</v>
      </c>
      <c r="F301" s="70"/>
      <c r="G301" s="70">
        <v>-132.63999999999999</v>
      </c>
      <c r="H301" s="70">
        <v>-2.13</v>
      </c>
      <c r="I301" s="70">
        <v>8.6999999999999993</v>
      </c>
      <c r="J301" s="70">
        <v>-0.18</v>
      </c>
      <c r="K301" s="70">
        <v>-7.64</v>
      </c>
      <c r="L301" s="70">
        <v>-1.0900000000000001</v>
      </c>
      <c r="M301" s="68">
        <f t="shared" si="4"/>
        <v>132.63999999999999</v>
      </c>
    </row>
    <row r="302" spans="1:13" x14ac:dyDescent="0.25">
      <c r="A302" s="70">
        <v>2241</v>
      </c>
      <c r="B302" s="70" t="s">
        <v>229</v>
      </c>
      <c r="C302" s="70">
        <v>0</v>
      </c>
      <c r="D302" s="70" t="s">
        <v>1695</v>
      </c>
      <c r="E302" s="70">
        <v>4</v>
      </c>
      <c r="F302" s="70"/>
      <c r="G302" s="70">
        <v>387.85</v>
      </c>
      <c r="H302" s="70">
        <v>-7.31</v>
      </c>
      <c r="I302" s="70">
        <v>8.68</v>
      </c>
      <c r="J302" s="70">
        <v>-0.33</v>
      </c>
      <c r="K302" s="70">
        <v>2.97</v>
      </c>
      <c r="L302" s="70">
        <v>3.21</v>
      </c>
      <c r="M302" s="68">
        <f t="shared" si="4"/>
        <v>-387.85</v>
      </c>
    </row>
    <row r="303" spans="1:13" x14ac:dyDescent="0.25">
      <c r="A303" s="70">
        <v>2009</v>
      </c>
      <c r="B303" s="70" t="s">
        <v>229</v>
      </c>
      <c r="C303" s="70">
        <v>0</v>
      </c>
      <c r="D303" s="70" t="s">
        <v>1433</v>
      </c>
      <c r="E303" s="70">
        <v>4</v>
      </c>
      <c r="F303" s="70"/>
      <c r="G303" s="70">
        <v>408.25</v>
      </c>
      <c r="H303" s="70">
        <v>-7.35</v>
      </c>
      <c r="I303" s="70">
        <v>8.61</v>
      </c>
      <c r="J303" s="70">
        <v>-0.5</v>
      </c>
      <c r="K303" s="70">
        <v>9.42</v>
      </c>
      <c r="L303" s="70">
        <v>3.9</v>
      </c>
      <c r="M303" s="68">
        <f t="shared" si="4"/>
        <v>-408.25</v>
      </c>
    </row>
    <row r="304" spans="1:13" x14ac:dyDescent="0.25">
      <c r="A304" s="70">
        <v>1831</v>
      </c>
      <c r="B304" s="70" t="s">
        <v>229</v>
      </c>
      <c r="C304" s="70">
        <v>0</v>
      </c>
      <c r="D304" s="70" t="s">
        <v>1270</v>
      </c>
      <c r="E304" s="70">
        <v>0</v>
      </c>
      <c r="F304" s="70"/>
      <c r="G304" s="70">
        <v>160.61000000000001</v>
      </c>
      <c r="H304" s="70">
        <v>4.59</v>
      </c>
      <c r="I304" s="70">
        <v>8.57</v>
      </c>
      <c r="J304" s="70">
        <v>0.17</v>
      </c>
      <c r="K304" s="70">
        <v>18.510000000000002</v>
      </c>
      <c r="L304" s="70">
        <v>2.68</v>
      </c>
      <c r="M304" s="68">
        <f t="shared" si="4"/>
        <v>-160.61000000000001</v>
      </c>
    </row>
    <row r="305" spans="1:13" x14ac:dyDescent="0.25">
      <c r="A305" s="70">
        <v>2038</v>
      </c>
      <c r="B305" s="70" t="s">
        <v>229</v>
      </c>
      <c r="C305" s="70">
        <v>0</v>
      </c>
      <c r="D305" s="70" t="s">
        <v>1487</v>
      </c>
      <c r="E305" s="70">
        <v>4</v>
      </c>
      <c r="F305" s="70"/>
      <c r="G305" s="70">
        <v>147.54</v>
      </c>
      <c r="H305" s="70">
        <v>4.5999999999999996</v>
      </c>
      <c r="I305" s="70">
        <v>8.48</v>
      </c>
      <c r="J305" s="70">
        <v>0.17</v>
      </c>
      <c r="K305" s="70">
        <v>11.34</v>
      </c>
      <c r="L305" s="70">
        <v>1.99</v>
      </c>
      <c r="M305" s="68">
        <f t="shared" si="4"/>
        <v>-147.54</v>
      </c>
    </row>
    <row r="306" spans="1:13" x14ac:dyDescent="0.25">
      <c r="A306" s="70">
        <v>2285</v>
      </c>
      <c r="B306" s="70" t="s">
        <v>229</v>
      </c>
      <c r="C306" s="70">
        <v>0</v>
      </c>
      <c r="D306" s="70" t="s">
        <v>1721</v>
      </c>
      <c r="E306" s="70">
        <v>4</v>
      </c>
      <c r="F306" s="70"/>
      <c r="G306" s="70">
        <v>408.89</v>
      </c>
      <c r="H306" s="70">
        <v>-7.36</v>
      </c>
      <c r="I306" s="70">
        <v>8.4600000000000009</v>
      </c>
      <c r="J306" s="70">
        <v>-0.5</v>
      </c>
      <c r="K306" s="70">
        <v>9.4700000000000006</v>
      </c>
      <c r="L306" s="70">
        <v>3.92</v>
      </c>
      <c r="M306" s="68">
        <f t="shared" si="4"/>
        <v>-408.89</v>
      </c>
    </row>
    <row r="307" spans="1:13" x14ac:dyDescent="0.25">
      <c r="A307" s="70">
        <v>2176</v>
      </c>
      <c r="B307" s="70" t="s">
        <v>229</v>
      </c>
      <c r="C307" s="70">
        <v>0</v>
      </c>
      <c r="D307" s="70" t="s">
        <v>1631</v>
      </c>
      <c r="E307" s="70">
        <v>4</v>
      </c>
      <c r="F307" s="70"/>
      <c r="G307" s="70">
        <v>146.86000000000001</v>
      </c>
      <c r="H307" s="70">
        <v>4.5999999999999996</v>
      </c>
      <c r="I307" s="70">
        <v>8.4499999999999993</v>
      </c>
      <c r="J307" s="70">
        <v>0.17</v>
      </c>
      <c r="K307" s="70">
        <v>11.34</v>
      </c>
      <c r="L307" s="70">
        <v>1.99</v>
      </c>
      <c r="M307" s="68">
        <f t="shared" si="4"/>
        <v>-146.86000000000001</v>
      </c>
    </row>
    <row r="308" spans="1:13" x14ac:dyDescent="0.25">
      <c r="A308" s="70">
        <v>2093</v>
      </c>
      <c r="B308" s="70" t="s">
        <v>229</v>
      </c>
      <c r="C308" s="70">
        <v>0</v>
      </c>
      <c r="D308" s="70" t="s">
        <v>1531</v>
      </c>
      <c r="E308" s="70">
        <v>4</v>
      </c>
      <c r="F308" s="70"/>
      <c r="G308" s="70">
        <v>-735.7</v>
      </c>
      <c r="H308" s="70">
        <v>-10.56</v>
      </c>
      <c r="I308" s="70">
        <v>8.41</v>
      </c>
      <c r="J308" s="70">
        <v>0.3</v>
      </c>
      <c r="K308" s="70">
        <v>-8.26</v>
      </c>
      <c r="L308" s="70">
        <v>5.34</v>
      </c>
      <c r="M308" s="68">
        <f t="shared" si="4"/>
        <v>735.7</v>
      </c>
    </row>
    <row r="309" spans="1:13" x14ac:dyDescent="0.25">
      <c r="A309" s="70">
        <v>2369</v>
      </c>
      <c r="B309" s="70" t="s">
        <v>229</v>
      </c>
      <c r="C309" s="70">
        <v>0</v>
      </c>
      <c r="D309" s="70" t="s">
        <v>1818</v>
      </c>
      <c r="E309" s="70">
        <v>0</v>
      </c>
      <c r="F309" s="70"/>
      <c r="G309" s="70">
        <v>-771.83</v>
      </c>
      <c r="H309" s="70">
        <v>-10.57</v>
      </c>
      <c r="I309" s="70">
        <v>8.39</v>
      </c>
      <c r="J309" s="70">
        <v>0.3</v>
      </c>
      <c r="K309" s="70">
        <v>-8.06</v>
      </c>
      <c r="L309" s="70">
        <v>-5.18</v>
      </c>
      <c r="M309" s="68">
        <f t="shared" si="4"/>
        <v>771.83</v>
      </c>
    </row>
    <row r="310" spans="1:13" x14ac:dyDescent="0.25">
      <c r="A310" s="70">
        <v>1817</v>
      </c>
      <c r="B310" s="70" t="s">
        <v>229</v>
      </c>
      <c r="C310" s="70">
        <v>0</v>
      </c>
      <c r="D310" s="70" t="s">
        <v>1242</v>
      </c>
      <c r="E310" s="70">
        <v>0</v>
      </c>
      <c r="F310" s="70"/>
      <c r="G310" s="70">
        <v>-773.51</v>
      </c>
      <c r="H310" s="70">
        <v>10.56</v>
      </c>
      <c r="I310" s="70">
        <v>8.3800000000000008</v>
      </c>
      <c r="J310" s="70">
        <v>0.3</v>
      </c>
      <c r="K310" s="70">
        <v>-8.14</v>
      </c>
      <c r="L310" s="70">
        <v>5.17</v>
      </c>
      <c r="M310" s="68">
        <f t="shared" si="4"/>
        <v>773.51</v>
      </c>
    </row>
    <row r="311" spans="1:13" x14ac:dyDescent="0.25">
      <c r="A311" s="70">
        <v>2032</v>
      </c>
      <c r="B311" s="70" t="s">
        <v>229</v>
      </c>
      <c r="C311" s="70">
        <v>0</v>
      </c>
      <c r="D311" s="70" t="s">
        <v>1475</v>
      </c>
      <c r="E311" s="70">
        <v>4</v>
      </c>
      <c r="F311" s="70"/>
      <c r="G311" s="70">
        <v>396.97</v>
      </c>
      <c r="H311" s="70">
        <v>-7.38</v>
      </c>
      <c r="I311" s="70">
        <v>8.24</v>
      </c>
      <c r="J311" s="70">
        <v>-0.49</v>
      </c>
      <c r="K311" s="70">
        <v>7.62</v>
      </c>
      <c r="L311" s="70">
        <v>3.41</v>
      </c>
      <c r="M311" s="68">
        <f t="shared" si="4"/>
        <v>-396.97</v>
      </c>
    </row>
    <row r="312" spans="1:13" x14ac:dyDescent="0.25">
      <c r="A312" s="70">
        <v>1962</v>
      </c>
      <c r="B312" s="70" t="s">
        <v>229</v>
      </c>
      <c r="C312" s="70">
        <v>0</v>
      </c>
      <c r="D312" s="70" t="s">
        <v>1401</v>
      </c>
      <c r="E312" s="70">
        <v>4</v>
      </c>
      <c r="F312" s="70"/>
      <c r="G312" s="70">
        <v>322.58999999999997</v>
      </c>
      <c r="H312" s="70">
        <v>-7.38</v>
      </c>
      <c r="I312" s="70">
        <v>8.2200000000000006</v>
      </c>
      <c r="J312" s="70">
        <v>-0.55000000000000004</v>
      </c>
      <c r="K312" s="70">
        <v>10.56</v>
      </c>
      <c r="L312" s="70">
        <v>3.56</v>
      </c>
      <c r="M312" s="68">
        <f t="shared" si="4"/>
        <v>-322.58999999999997</v>
      </c>
    </row>
    <row r="313" spans="1:13" x14ac:dyDescent="0.25">
      <c r="A313" s="70">
        <v>2170</v>
      </c>
      <c r="B313" s="70" t="s">
        <v>229</v>
      </c>
      <c r="C313" s="70">
        <v>0</v>
      </c>
      <c r="D313" s="70" t="s">
        <v>1619</v>
      </c>
      <c r="E313" s="70">
        <v>4</v>
      </c>
      <c r="F313" s="70"/>
      <c r="G313" s="70">
        <v>396.43</v>
      </c>
      <c r="H313" s="70">
        <v>-7.37</v>
      </c>
      <c r="I313" s="70">
        <v>8.19</v>
      </c>
      <c r="J313" s="70">
        <v>-0.49</v>
      </c>
      <c r="K313" s="70">
        <v>7.64</v>
      </c>
      <c r="L313" s="70">
        <v>3.4</v>
      </c>
      <c r="M313" s="68">
        <f t="shared" si="4"/>
        <v>-396.43</v>
      </c>
    </row>
    <row r="314" spans="1:13" x14ac:dyDescent="0.25">
      <c r="A314" s="70">
        <v>2079</v>
      </c>
      <c r="B314" s="70" t="s">
        <v>229</v>
      </c>
      <c r="C314" s="70">
        <v>0</v>
      </c>
      <c r="D314" s="70" t="s">
        <v>1507</v>
      </c>
      <c r="E314" s="70">
        <v>4</v>
      </c>
      <c r="F314" s="70"/>
      <c r="G314" s="70">
        <v>327.54000000000002</v>
      </c>
      <c r="H314" s="70">
        <v>-7.37</v>
      </c>
      <c r="I314" s="70">
        <v>8.11</v>
      </c>
      <c r="J314" s="70">
        <v>-0.56000000000000005</v>
      </c>
      <c r="K314" s="70">
        <v>7.9</v>
      </c>
      <c r="L314" s="70">
        <v>3.81</v>
      </c>
      <c r="M314" s="68">
        <f t="shared" si="4"/>
        <v>-327.54000000000002</v>
      </c>
    </row>
    <row r="315" spans="1:13" x14ac:dyDescent="0.25">
      <c r="A315" s="70">
        <v>2151</v>
      </c>
      <c r="B315" s="70" t="s">
        <v>229</v>
      </c>
      <c r="C315" s="70">
        <v>0</v>
      </c>
      <c r="D315" s="70" t="s">
        <v>1585</v>
      </c>
      <c r="E315" s="70">
        <v>4</v>
      </c>
      <c r="F315" s="70"/>
      <c r="G315" s="70">
        <v>-240.33</v>
      </c>
      <c r="H315" s="70">
        <v>-8.9</v>
      </c>
      <c r="I315" s="70">
        <v>8.11</v>
      </c>
      <c r="J315" s="70">
        <v>-0.51</v>
      </c>
      <c r="K315" s="70">
        <v>-12.08</v>
      </c>
      <c r="L315" s="70">
        <v>4.16</v>
      </c>
      <c r="M315" s="68">
        <f t="shared" si="4"/>
        <v>240.33</v>
      </c>
    </row>
    <row r="316" spans="1:13" x14ac:dyDescent="0.25">
      <c r="A316" s="70">
        <v>2419</v>
      </c>
      <c r="B316" s="70" t="s">
        <v>229</v>
      </c>
      <c r="C316" s="70">
        <v>0</v>
      </c>
      <c r="D316" s="70" t="s">
        <v>1856</v>
      </c>
      <c r="E316" s="70">
        <v>0</v>
      </c>
      <c r="F316" s="70"/>
      <c r="G316" s="70">
        <v>318.77</v>
      </c>
      <c r="H316" s="70">
        <v>-6.74</v>
      </c>
      <c r="I316" s="70">
        <v>8.09</v>
      </c>
      <c r="J316" s="70">
        <v>0.23</v>
      </c>
      <c r="K316" s="70">
        <v>10.64</v>
      </c>
      <c r="L316" s="70">
        <v>-2.97</v>
      </c>
      <c r="M316" s="68">
        <f t="shared" si="4"/>
        <v>-318.77</v>
      </c>
    </row>
    <row r="317" spans="1:13" x14ac:dyDescent="0.25">
      <c r="A317" s="70">
        <v>6</v>
      </c>
      <c r="B317" s="70" t="s">
        <v>229</v>
      </c>
      <c r="C317" s="70">
        <v>0</v>
      </c>
      <c r="D317" s="70" t="s">
        <v>1105</v>
      </c>
      <c r="E317" s="70">
        <v>4</v>
      </c>
      <c r="F317" s="70"/>
      <c r="G317" s="70">
        <v>-223.21</v>
      </c>
      <c r="H317" s="70">
        <v>-2.35</v>
      </c>
      <c r="I317" s="70">
        <v>8.07</v>
      </c>
      <c r="J317" s="70">
        <v>-0.14000000000000001</v>
      </c>
      <c r="K317" s="70">
        <v>-8.65</v>
      </c>
      <c r="L317" s="70">
        <v>1.2</v>
      </c>
      <c r="M317" s="68">
        <f t="shared" si="4"/>
        <v>223.21</v>
      </c>
    </row>
    <row r="318" spans="1:13" x14ac:dyDescent="0.25">
      <c r="A318" s="70">
        <v>13</v>
      </c>
      <c r="B318" s="70" t="s">
        <v>229</v>
      </c>
      <c r="C318" s="70">
        <v>0</v>
      </c>
      <c r="D318" s="70" t="s">
        <v>1119</v>
      </c>
      <c r="E318" s="70">
        <v>4</v>
      </c>
      <c r="F318" s="70"/>
      <c r="G318" s="70">
        <v>197.46</v>
      </c>
      <c r="H318" s="70">
        <v>-1.76</v>
      </c>
      <c r="I318" s="70">
        <v>8.07</v>
      </c>
      <c r="J318" s="70">
        <v>-0.12</v>
      </c>
      <c r="K318" s="70">
        <v>3.13</v>
      </c>
      <c r="L318" s="70">
        <v>0.82</v>
      </c>
      <c r="M318" s="68">
        <f t="shared" si="4"/>
        <v>-197.46</v>
      </c>
    </row>
    <row r="319" spans="1:13" x14ac:dyDescent="0.25">
      <c r="A319" s="70">
        <v>1946</v>
      </c>
      <c r="B319" s="70" t="s">
        <v>229</v>
      </c>
      <c r="C319" s="70">
        <v>0</v>
      </c>
      <c r="D319" s="70" t="s">
        <v>1373</v>
      </c>
      <c r="E319" s="70">
        <v>4</v>
      </c>
      <c r="F319" s="70"/>
      <c r="G319" s="70">
        <v>-565.75</v>
      </c>
      <c r="H319" s="70">
        <v>-10.87</v>
      </c>
      <c r="I319" s="70">
        <v>8.06</v>
      </c>
      <c r="J319" s="70">
        <v>0.33</v>
      </c>
      <c r="K319" s="70">
        <v>-13.54</v>
      </c>
      <c r="L319" s="70">
        <v>5.07</v>
      </c>
      <c r="M319" s="68">
        <f t="shared" si="4"/>
        <v>565.75</v>
      </c>
    </row>
    <row r="320" spans="1:13" x14ac:dyDescent="0.25">
      <c r="A320" s="70">
        <v>2360</v>
      </c>
      <c r="B320" s="70" t="s">
        <v>229</v>
      </c>
      <c r="C320" s="70">
        <v>0</v>
      </c>
      <c r="D320" s="70" t="s">
        <v>1805</v>
      </c>
      <c r="E320" s="70">
        <v>4</v>
      </c>
      <c r="F320" s="70"/>
      <c r="G320" s="70">
        <v>-567.08000000000004</v>
      </c>
      <c r="H320" s="70">
        <v>-10.83</v>
      </c>
      <c r="I320" s="70">
        <v>8.06</v>
      </c>
      <c r="J320" s="70">
        <v>0.33</v>
      </c>
      <c r="K320" s="70">
        <v>-13.58</v>
      </c>
      <c r="L320" s="70">
        <v>-5.0599999999999996</v>
      </c>
      <c r="M320" s="68">
        <f t="shared" si="4"/>
        <v>567.08000000000004</v>
      </c>
    </row>
    <row r="321" spans="1:13" x14ac:dyDescent="0.25">
      <c r="A321" s="70">
        <v>2238</v>
      </c>
      <c r="B321" s="70" t="s">
        <v>229</v>
      </c>
      <c r="C321" s="70">
        <v>0</v>
      </c>
      <c r="D321" s="70" t="s">
        <v>1689</v>
      </c>
      <c r="E321" s="70">
        <v>4</v>
      </c>
      <c r="F321" s="70"/>
      <c r="G321" s="70">
        <v>321.72000000000003</v>
      </c>
      <c r="H321" s="70">
        <v>-7.38</v>
      </c>
      <c r="I321" s="70">
        <v>8.0500000000000007</v>
      </c>
      <c r="J321" s="70">
        <v>-0.55000000000000004</v>
      </c>
      <c r="K321" s="70">
        <v>10.62</v>
      </c>
      <c r="L321" s="70">
        <v>3.56</v>
      </c>
      <c r="M321" s="68">
        <f t="shared" si="4"/>
        <v>-321.72000000000003</v>
      </c>
    </row>
    <row r="322" spans="1:13" x14ac:dyDescent="0.25">
      <c r="A322" s="70">
        <v>2510</v>
      </c>
      <c r="B322" s="70" t="s">
        <v>229</v>
      </c>
      <c r="C322" s="70">
        <v>0</v>
      </c>
      <c r="D322" s="70" t="s">
        <v>1969</v>
      </c>
      <c r="E322" s="70">
        <v>4</v>
      </c>
      <c r="F322" s="70"/>
      <c r="G322" s="70">
        <v>-222.26</v>
      </c>
      <c r="H322" s="70">
        <v>-2.36</v>
      </c>
      <c r="I322" s="70">
        <v>8.0299999999999994</v>
      </c>
      <c r="J322" s="70">
        <v>-0.14000000000000001</v>
      </c>
      <c r="K322" s="70">
        <v>-8.68</v>
      </c>
      <c r="L322" s="70">
        <v>1.21</v>
      </c>
      <c r="M322" s="68">
        <f t="shared" ref="M322:M385" si="5">G322*-1</f>
        <v>222.26</v>
      </c>
    </row>
    <row r="323" spans="1:13" x14ac:dyDescent="0.25">
      <c r="A323" s="70">
        <v>2107</v>
      </c>
      <c r="B323" s="70" t="s">
        <v>229</v>
      </c>
      <c r="C323" s="70">
        <v>0</v>
      </c>
      <c r="D323" s="70" t="s">
        <v>1559</v>
      </c>
      <c r="E323" s="70">
        <v>4</v>
      </c>
      <c r="F323" s="70"/>
      <c r="G323" s="70">
        <v>145.47</v>
      </c>
      <c r="H323" s="70">
        <v>4.5999999999999996</v>
      </c>
      <c r="I323" s="70">
        <v>8.02</v>
      </c>
      <c r="J323" s="70">
        <v>0.17</v>
      </c>
      <c r="K323" s="70">
        <v>11.18</v>
      </c>
      <c r="L323" s="70">
        <v>1.99</v>
      </c>
      <c r="M323" s="68">
        <f t="shared" si="5"/>
        <v>-145.47</v>
      </c>
    </row>
    <row r="324" spans="1:13" x14ac:dyDescent="0.25">
      <c r="A324" s="70">
        <v>2217</v>
      </c>
      <c r="B324" s="70" t="s">
        <v>229</v>
      </c>
      <c r="C324" s="70">
        <v>0</v>
      </c>
      <c r="D324" s="70" t="s">
        <v>1651</v>
      </c>
      <c r="E324" s="70">
        <v>4</v>
      </c>
      <c r="F324" s="70"/>
      <c r="G324" s="70">
        <v>328.1</v>
      </c>
      <c r="H324" s="70">
        <v>-7.37</v>
      </c>
      <c r="I324" s="70">
        <v>8.02</v>
      </c>
      <c r="J324" s="70">
        <v>-0.56000000000000005</v>
      </c>
      <c r="K324" s="70">
        <v>7.92</v>
      </c>
      <c r="L324" s="70">
        <v>3.81</v>
      </c>
      <c r="M324" s="68">
        <f t="shared" si="5"/>
        <v>-328.1</v>
      </c>
    </row>
    <row r="325" spans="1:13" x14ac:dyDescent="0.25">
      <c r="A325" s="70">
        <v>2517</v>
      </c>
      <c r="B325" s="70" t="s">
        <v>229</v>
      </c>
      <c r="C325" s="70">
        <v>0</v>
      </c>
      <c r="D325" s="70" t="s">
        <v>1983</v>
      </c>
      <c r="E325" s="70">
        <v>4</v>
      </c>
      <c r="F325" s="70"/>
      <c r="G325" s="70">
        <v>197.08</v>
      </c>
      <c r="H325" s="70">
        <v>-1.75</v>
      </c>
      <c r="I325" s="70">
        <v>7.98</v>
      </c>
      <c r="J325" s="70">
        <v>-0.12</v>
      </c>
      <c r="K325" s="70">
        <v>3.17</v>
      </c>
      <c r="L325" s="70">
        <v>0.82</v>
      </c>
      <c r="M325" s="68">
        <f t="shared" si="5"/>
        <v>-197.08</v>
      </c>
    </row>
    <row r="326" spans="1:13" x14ac:dyDescent="0.25">
      <c r="A326" s="70">
        <v>1867</v>
      </c>
      <c r="B326" s="70" t="s">
        <v>229</v>
      </c>
      <c r="C326" s="70">
        <v>0</v>
      </c>
      <c r="D326" s="70" t="s">
        <v>1280</v>
      </c>
      <c r="E326" s="70">
        <v>0</v>
      </c>
      <c r="F326" s="70"/>
      <c r="G326" s="70">
        <v>318.52999999999997</v>
      </c>
      <c r="H326" s="70">
        <v>-6.71</v>
      </c>
      <c r="I326" s="70">
        <v>7.96</v>
      </c>
      <c r="J326" s="70">
        <v>0.23</v>
      </c>
      <c r="K326" s="70">
        <v>10.51</v>
      </c>
      <c r="L326" s="70">
        <v>-2.96</v>
      </c>
      <c r="M326" s="68">
        <f t="shared" si="5"/>
        <v>-318.52999999999997</v>
      </c>
    </row>
    <row r="327" spans="1:13" x14ac:dyDescent="0.25">
      <c r="A327" s="70">
        <v>2232</v>
      </c>
      <c r="B327" s="70" t="s">
        <v>229</v>
      </c>
      <c r="C327" s="70">
        <v>0</v>
      </c>
      <c r="D327" s="70" t="s">
        <v>1677</v>
      </c>
      <c r="E327" s="70">
        <v>4</v>
      </c>
      <c r="F327" s="70"/>
      <c r="G327" s="70">
        <v>-665.8</v>
      </c>
      <c r="H327" s="70">
        <v>-11.33</v>
      </c>
      <c r="I327" s="70">
        <v>7.96</v>
      </c>
      <c r="J327" s="70">
        <v>0.3</v>
      </c>
      <c r="K327" s="70">
        <v>-12.06</v>
      </c>
      <c r="L327" s="70">
        <v>5.89</v>
      </c>
      <c r="M327" s="68">
        <f t="shared" si="5"/>
        <v>665.8</v>
      </c>
    </row>
    <row r="328" spans="1:13" x14ac:dyDescent="0.25">
      <c r="A328" s="70">
        <v>2418</v>
      </c>
      <c r="B328" s="70" t="s">
        <v>229</v>
      </c>
      <c r="C328" s="70">
        <v>0</v>
      </c>
      <c r="D328" s="70" t="s">
        <v>1854</v>
      </c>
      <c r="E328" s="70">
        <v>0</v>
      </c>
      <c r="F328" s="70"/>
      <c r="G328" s="70">
        <v>264.42</v>
      </c>
      <c r="H328" s="70">
        <v>-5.86</v>
      </c>
      <c r="I328" s="70">
        <v>7.95</v>
      </c>
      <c r="J328" s="70">
        <v>0.2</v>
      </c>
      <c r="K328" s="70">
        <v>17.52</v>
      </c>
      <c r="L328" s="70">
        <v>-2.57</v>
      </c>
      <c r="M328" s="68">
        <f t="shared" si="5"/>
        <v>-264.42</v>
      </c>
    </row>
    <row r="329" spans="1:13" x14ac:dyDescent="0.25">
      <c r="A329" s="70">
        <v>1956</v>
      </c>
      <c r="B329" s="70" t="s">
        <v>229</v>
      </c>
      <c r="C329" s="70">
        <v>0</v>
      </c>
      <c r="D329" s="70" t="s">
        <v>1389</v>
      </c>
      <c r="E329" s="70">
        <v>4</v>
      </c>
      <c r="F329" s="70"/>
      <c r="G329" s="70">
        <v>-666.02</v>
      </c>
      <c r="H329" s="70">
        <v>-11.3</v>
      </c>
      <c r="I329" s="70">
        <v>7.84</v>
      </c>
      <c r="J329" s="70">
        <v>0.31</v>
      </c>
      <c r="K329" s="70">
        <v>-11.99</v>
      </c>
      <c r="L329" s="70">
        <v>5.87</v>
      </c>
      <c r="M329" s="68">
        <f t="shared" si="5"/>
        <v>666.02</v>
      </c>
    </row>
    <row r="330" spans="1:13" x14ac:dyDescent="0.25">
      <c r="A330" s="70">
        <v>2314</v>
      </c>
      <c r="B330" s="70" t="s">
        <v>229</v>
      </c>
      <c r="C330" s="70">
        <v>0</v>
      </c>
      <c r="D330" s="70" t="s">
        <v>1774</v>
      </c>
      <c r="E330" s="70">
        <v>0</v>
      </c>
      <c r="F330" s="70"/>
      <c r="G330" s="70">
        <v>157.61000000000001</v>
      </c>
      <c r="H330" s="70">
        <v>4.6100000000000003</v>
      </c>
      <c r="I330" s="70">
        <v>7.83</v>
      </c>
      <c r="J330" s="70">
        <v>0.17</v>
      </c>
      <c r="K330" s="70">
        <v>18.32</v>
      </c>
      <c r="L330" s="70">
        <v>2.69</v>
      </c>
      <c r="M330" s="68">
        <f t="shared" si="5"/>
        <v>-157.61000000000001</v>
      </c>
    </row>
    <row r="331" spans="1:13" x14ac:dyDescent="0.25">
      <c r="A331" s="70">
        <v>1939</v>
      </c>
      <c r="B331" s="70" t="s">
        <v>229</v>
      </c>
      <c r="C331" s="70">
        <v>0</v>
      </c>
      <c r="D331" s="70" t="s">
        <v>1359</v>
      </c>
      <c r="E331" s="70">
        <v>4</v>
      </c>
      <c r="F331" s="70"/>
      <c r="G331" s="70">
        <v>420.53</v>
      </c>
      <c r="H331" s="70">
        <v>-7.34</v>
      </c>
      <c r="I331" s="70">
        <v>7.75</v>
      </c>
      <c r="J331" s="70">
        <v>-0.42</v>
      </c>
      <c r="K331" s="70">
        <v>9.77</v>
      </c>
      <c r="L331" s="70">
        <v>3.99</v>
      </c>
      <c r="M331" s="68">
        <f t="shared" si="5"/>
        <v>-420.53</v>
      </c>
    </row>
    <row r="332" spans="1:13" x14ac:dyDescent="0.25">
      <c r="A332" s="70">
        <v>1866</v>
      </c>
      <c r="B332" s="70" t="s">
        <v>229</v>
      </c>
      <c r="C332" s="70">
        <v>0</v>
      </c>
      <c r="D332" s="70" t="s">
        <v>1278</v>
      </c>
      <c r="E332" s="70">
        <v>0</v>
      </c>
      <c r="F332" s="70"/>
      <c r="G332" s="70">
        <v>264.23</v>
      </c>
      <c r="H332" s="70">
        <v>-5.84</v>
      </c>
      <c r="I332" s="70">
        <v>7.71</v>
      </c>
      <c r="J332" s="70">
        <v>0.2</v>
      </c>
      <c r="K332" s="70">
        <v>17.57</v>
      </c>
      <c r="L332" s="70">
        <v>-2.56</v>
      </c>
      <c r="M332" s="68">
        <f t="shared" si="5"/>
        <v>-264.23</v>
      </c>
    </row>
    <row r="333" spans="1:13" x14ac:dyDescent="0.25">
      <c r="A333" s="70">
        <v>1900</v>
      </c>
      <c r="B333" s="70" t="s">
        <v>229</v>
      </c>
      <c r="C333" s="70">
        <v>0</v>
      </c>
      <c r="D333" s="70" t="s">
        <v>1342</v>
      </c>
      <c r="E333" s="70">
        <v>0</v>
      </c>
      <c r="F333" s="70"/>
      <c r="G333" s="70">
        <v>158.52000000000001</v>
      </c>
      <c r="H333" s="70">
        <v>4.59</v>
      </c>
      <c r="I333" s="70">
        <v>7.68</v>
      </c>
      <c r="J333" s="70">
        <v>0.17</v>
      </c>
      <c r="K333" s="70">
        <v>18.350000000000001</v>
      </c>
      <c r="L333" s="70">
        <v>2.68</v>
      </c>
      <c r="M333" s="68">
        <f t="shared" si="5"/>
        <v>-158.52000000000001</v>
      </c>
    </row>
    <row r="334" spans="1:13" x14ac:dyDescent="0.25">
      <c r="A334" s="70">
        <v>2282</v>
      </c>
      <c r="B334" s="70" t="s">
        <v>229</v>
      </c>
      <c r="C334" s="70">
        <v>0</v>
      </c>
      <c r="D334" s="70" t="s">
        <v>1715</v>
      </c>
      <c r="E334" s="70">
        <v>4</v>
      </c>
      <c r="F334" s="70"/>
      <c r="G334" s="70">
        <v>356.04</v>
      </c>
      <c r="H334" s="70">
        <v>-7.16</v>
      </c>
      <c r="I334" s="70">
        <v>7.63</v>
      </c>
      <c r="J334" s="70">
        <v>-0.27</v>
      </c>
      <c r="K334" s="70">
        <v>3.04</v>
      </c>
      <c r="L334" s="70">
        <v>4.0199999999999996</v>
      </c>
      <c r="M334" s="68">
        <f t="shared" si="5"/>
        <v>-356.04</v>
      </c>
    </row>
    <row r="335" spans="1:13" x14ac:dyDescent="0.25">
      <c r="A335" s="70">
        <v>2006</v>
      </c>
      <c r="B335" s="70" t="s">
        <v>229</v>
      </c>
      <c r="C335" s="70">
        <v>0</v>
      </c>
      <c r="D335" s="70" t="s">
        <v>1427</v>
      </c>
      <c r="E335" s="70">
        <v>4</v>
      </c>
      <c r="F335" s="70"/>
      <c r="G335" s="70">
        <v>355.64</v>
      </c>
      <c r="H335" s="70">
        <v>7.18</v>
      </c>
      <c r="I335" s="70">
        <v>7.61</v>
      </c>
      <c r="J335" s="70">
        <v>0.27</v>
      </c>
      <c r="K335" s="70">
        <v>3</v>
      </c>
      <c r="L335" s="70">
        <v>-4.03</v>
      </c>
      <c r="M335" s="68">
        <f t="shared" si="5"/>
        <v>-355.64</v>
      </c>
    </row>
    <row r="336" spans="1:13" x14ac:dyDescent="0.25">
      <c r="A336" s="70">
        <v>2102</v>
      </c>
      <c r="B336" s="70" t="s">
        <v>229</v>
      </c>
      <c r="C336" s="70">
        <v>0</v>
      </c>
      <c r="D336" s="70" t="s">
        <v>1549</v>
      </c>
      <c r="E336" s="70">
        <v>4</v>
      </c>
      <c r="F336" s="70"/>
      <c r="G336" s="70">
        <v>410.28</v>
      </c>
      <c r="H336" s="70">
        <v>-7.38</v>
      </c>
      <c r="I336" s="70">
        <v>7.61</v>
      </c>
      <c r="J336" s="70">
        <v>-0.41</v>
      </c>
      <c r="K336" s="70">
        <v>3.82</v>
      </c>
      <c r="L336" s="70">
        <v>3.32</v>
      </c>
      <c r="M336" s="68">
        <f t="shared" si="5"/>
        <v>-410.28</v>
      </c>
    </row>
    <row r="337" spans="1:13" x14ac:dyDescent="0.25">
      <c r="A337" s="70">
        <v>2353</v>
      </c>
      <c r="B337" s="70" t="s">
        <v>229</v>
      </c>
      <c r="C337" s="70">
        <v>0</v>
      </c>
      <c r="D337" s="70" t="s">
        <v>1791</v>
      </c>
      <c r="E337" s="70">
        <v>4</v>
      </c>
      <c r="F337" s="70"/>
      <c r="G337" s="70">
        <v>421.08</v>
      </c>
      <c r="H337" s="70">
        <v>-7.37</v>
      </c>
      <c r="I337" s="70">
        <v>7.59</v>
      </c>
      <c r="J337" s="70">
        <v>-0.42</v>
      </c>
      <c r="K337" s="70">
        <v>9.83</v>
      </c>
      <c r="L337" s="70">
        <v>4.01</v>
      </c>
      <c r="M337" s="68">
        <f t="shared" si="5"/>
        <v>-421.08</v>
      </c>
    </row>
    <row r="338" spans="1:13" x14ac:dyDescent="0.25">
      <c r="A338" s="70">
        <v>2430</v>
      </c>
      <c r="B338" s="70" t="s">
        <v>229</v>
      </c>
      <c r="C338" s="70">
        <v>0</v>
      </c>
      <c r="D338" s="70" t="s">
        <v>1879</v>
      </c>
      <c r="E338" s="70">
        <v>4</v>
      </c>
      <c r="F338" s="70"/>
      <c r="G338" s="70">
        <v>-681.69</v>
      </c>
      <c r="H338" s="70">
        <v>11.32</v>
      </c>
      <c r="I338" s="70">
        <v>7.59</v>
      </c>
      <c r="J338" s="70">
        <v>0.31</v>
      </c>
      <c r="K338" s="70">
        <v>-11.26</v>
      </c>
      <c r="L338" s="70">
        <v>-5.38</v>
      </c>
      <c r="M338" s="68">
        <f t="shared" si="5"/>
        <v>681.69</v>
      </c>
    </row>
    <row r="339" spans="1:13" x14ac:dyDescent="0.25">
      <c r="A339" s="70">
        <v>1828</v>
      </c>
      <c r="B339" s="70" t="s">
        <v>229</v>
      </c>
      <c r="C339" s="70">
        <v>0</v>
      </c>
      <c r="D339" s="70" t="s">
        <v>1265</v>
      </c>
      <c r="E339" s="70">
        <v>4</v>
      </c>
      <c r="F339" s="70"/>
      <c r="G339" s="70">
        <v>357.7</v>
      </c>
      <c r="H339" s="70">
        <v>-7.2</v>
      </c>
      <c r="I339" s="70">
        <v>7.48</v>
      </c>
      <c r="J339" s="70">
        <v>-0.27</v>
      </c>
      <c r="K339" s="70">
        <v>6.04</v>
      </c>
      <c r="L339" s="70">
        <v>3.16</v>
      </c>
      <c r="M339" s="68">
        <f t="shared" si="5"/>
        <v>-357.7</v>
      </c>
    </row>
    <row r="340" spans="1:13" x14ac:dyDescent="0.25">
      <c r="A340" s="70">
        <v>2380</v>
      </c>
      <c r="B340" s="70" t="s">
        <v>229</v>
      </c>
      <c r="C340" s="70">
        <v>0</v>
      </c>
      <c r="D340" s="70" t="s">
        <v>1841</v>
      </c>
      <c r="E340" s="70">
        <v>4</v>
      </c>
      <c r="F340" s="70"/>
      <c r="G340" s="70">
        <v>357.3</v>
      </c>
      <c r="H340" s="70">
        <v>7.22</v>
      </c>
      <c r="I340" s="70">
        <v>7.44</v>
      </c>
      <c r="J340" s="70">
        <v>0.27</v>
      </c>
      <c r="K340" s="70">
        <v>6.04</v>
      </c>
      <c r="L340" s="70">
        <v>-3.16</v>
      </c>
      <c r="M340" s="68">
        <f t="shared" si="5"/>
        <v>-357.3</v>
      </c>
    </row>
    <row r="341" spans="1:13" x14ac:dyDescent="0.25">
      <c r="A341" s="70">
        <v>2507</v>
      </c>
      <c r="B341" s="70" t="s">
        <v>229</v>
      </c>
      <c r="C341" s="70">
        <v>0</v>
      </c>
      <c r="D341" s="70" t="s">
        <v>1963</v>
      </c>
      <c r="E341" s="70">
        <v>4</v>
      </c>
      <c r="F341" s="70"/>
      <c r="G341" s="70">
        <v>-389.35</v>
      </c>
      <c r="H341" s="70">
        <v>-2.5299999999999998</v>
      </c>
      <c r="I341" s="70">
        <v>7.44</v>
      </c>
      <c r="J341" s="70">
        <v>0.1</v>
      </c>
      <c r="K341" s="70">
        <v>-6.11</v>
      </c>
      <c r="L341" s="70">
        <v>1.27</v>
      </c>
      <c r="M341" s="68">
        <f t="shared" si="5"/>
        <v>389.35</v>
      </c>
    </row>
    <row r="342" spans="1:13" x14ac:dyDescent="0.25">
      <c r="A342" s="70">
        <v>2233</v>
      </c>
      <c r="B342" s="70" t="s">
        <v>229</v>
      </c>
      <c r="C342" s="70">
        <v>0</v>
      </c>
      <c r="D342" s="70" t="s">
        <v>1679</v>
      </c>
      <c r="E342" s="70">
        <v>4</v>
      </c>
      <c r="F342" s="70"/>
      <c r="G342" s="70">
        <v>-557.54</v>
      </c>
      <c r="H342" s="70">
        <v>-10.86</v>
      </c>
      <c r="I342" s="70">
        <v>7.36</v>
      </c>
      <c r="J342" s="70">
        <v>0.33</v>
      </c>
      <c r="K342" s="70">
        <v>-13.68</v>
      </c>
      <c r="L342" s="70">
        <v>5.71</v>
      </c>
      <c r="M342" s="68">
        <f t="shared" si="5"/>
        <v>557.54</v>
      </c>
    </row>
    <row r="343" spans="1:13" x14ac:dyDescent="0.25">
      <c r="A343" s="70">
        <v>2508</v>
      </c>
      <c r="B343" s="70" t="s">
        <v>229</v>
      </c>
      <c r="C343" s="70">
        <v>0</v>
      </c>
      <c r="D343" s="70" t="s">
        <v>1965</v>
      </c>
      <c r="E343" s="70">
        <v>4</v>
      </c>
      <c r="F343" s="70"/>
      <c r="G343" s="70">
        <v>-345.04</v>
      </c>
      <c r="H343" s="70">
        <v>-2.72</v>
      </c>
      <c r="I343" s="70">
        <v>7.36</v>
      </c>
      <c r="J343" s="70">
        <v>0.11</v>
      </c>
      <c r="K343" s="70">
        <v>-7.34</v>
      </c>
      <c r="L343" s="70">
        <v>1.38</v>
      </c>
      <c r="M343" s="68">
        <f t="shared" si="5"/>
        <v>345.04</v>
      </c>
    </row>
    <row r="344" spans="1:13" x14ac:dyDescent="0.25">
      <c r="A344" s="70">
        <v>1878</v>
      </c>
      <c r="B344" s="70" t="s">
        <v>229</v>
      </c>
      <c r="C344" s="70">
        <v>0</v>
      </c>
      <c r="D344" s="70" t="s">
        <v>1303</v>
      </c>
      <c r="E344" s="70">
        <v>4</v>
      </c>
      <c r="F344" s="70"/>
      <c r="G344" s="70">
        <v>-681.13</v>
      </c>
      <c r="H344" s="70">
        <v>-11.37</v>
      </c>
      <c r="I344" s="70">
        <v>7.33</v>
      </c>
      <c r="J344" s="70">
        <v>0.3</v>
      </c>
      <c r="K344" s="70">
        <v>-11.15</v>
      </c>
      <c r="L344" s="70">
        <v>5.39</v>
      </c>
      <c r="M344" s="68">
        <f t="shared" si="5"/>
        <v>681.13</v>
      </c>
    </row>
    <row r="345" spans="1:13" x14ac:dyDescent="0.25">
      <c r="A345" s="70">
        <v>2557</v>
      </c>
      <c r="B345" s="70" t="s">
        <v>229</v>
      </c>
      <c r="C345" s="70">
        <v>0</v>
      </c>
      <c r="D345" s="70" t="s">
        <v>2001</v>
      </c>
      <c r="E345" s="70">
        <v>4</v>
      </c>
      <c r="F345" s="70"/>
      <c r="G345" s="70">
        <v>163.92</v>
      </c>
      <c r="H345" s="70">
        <v>-1.62</v>
      </c>
      <c r="I345" s="70">
        <v>7.31</v>
      </c>
      <c r="J345" s="70">
        <v>0.08</v>
      </c>
      <c r="K345" s="70">
        <v>3.32</v>
      </c>
      <c r="L345" s="70">
        <v>0.86</v>
      </c>
      <c r="M345" s="68">
        <f t="shared" si="5"/>
        <v>-163.92</v>
      </c>
    </row>
    <row r="346" spans="1:13" x14ac:dyDescent="0.25">
      <c r="A346" s="70">
        <v>2509</v>
      </c>
      <c r="B346" s="70" t="s">
        <v>229</v>
      </c>
      <c r="C346" s="70">
        <v>0</v>
      </c>
      <c r="D346" s="70" t="s">
        <v>1967</v>
      </c>
      <c r="E346" s="70">
        <v>4</v>
      </c>
      <c r="F346" s="70"/>
      <c r="G346" s="70">
        <v>-292.45</v>
      </c>
      <c r="H346" s="70">
        <v>-2.61</v>
      </c>
      <c r="I346" s="70">
        <v>7.3</v>
      </c>
      <c r="J346" s="70">
        <v>0.12</v>
      </c>
      <c r="K346" s="70">
        <v>-8.4600000000000009</v>
      </c>
      <c r="L346" s="70">
        <v>1.33</v>
      </c>
      <c r="M346" s="68">
        <f t="shared" si="5"/>
        <v>292.45</v>
      </c>
    </row>
    <row r="347" spans="1:13" x14ac:dyDescent="0.25">
      <c r="A347" s="70">
        <v>1957</v>
      </c>
      <c r="B347" s="70" t="s">
        <v>229</v>
      </c>
      <c r="C347" s="70">
        <v>0</v>
      </c>
      <c r="D347" s="70" t="s">
        <v>1391</v>
      </c>
      <c r="E347" s="70">
        <v>4</v>
      </c>
      <c r="F347" s="70"/>
      <c r="G347" s="70">
        <v>-557.62</v>
      </c>
      <c r="H347" s="70">
        <v>-10.83</v>
      </c>
      <c r="I347" s="70">
        <v>7.29</v>
      </c>
      <c r="J347" s="70">
        <v>0.33</v>
      </c>
      <c r="K347" s="70">
        <v>-13.61</v>
      </c>
      <c r="L347" s="70">
        <v>5.7</v>
      </c>
      <c r="M347" s="68">
        <f t="shared" si="5"/>
        <v>557.62</v>
      </c>
    </row>
    <row r="348" spans="1:13" x14ac:dyDescent="0.25">
      <c r="A348" s="70">
        <v>58</v>
      </c>
      <c r="B348" s="70" t="s">
        <v>229</v>
      </c>
      <c r="C348" s="70">
        <v>0</v>
      </c>
      <c r="D348" s="70" t="s">
        <v>1143</v>
      </c>
      <c r="E348" s="70">
        <v>4</v>
      </c>
      <c r="F348" s="70"/>
      <c r="G348" s="70">
        <v>212.29</v>
      </c>
      <c r="H348" s="70">
        <v>-1.76</v>
      </c>
      <c r="I348" s="70">
        <v>7.25</v>
      </c>
      <c r="J348" s="70">
        <v>-0.14000000000000001</v>
      </c>
      <c r="K348" s="70">
        <v>6.49</v>
      </c>
      <c r="L348" s="70">
        <v>0.91</v>
      </c>
      <c r="M348" s="68">
        <f t="shared" si="5"/>
        <v>-212.29</v>
      </c>
    </row>
    <row r="349" spans="1:13" x14ac:dyDescent="0.25">
      <c r="A349" s="70">
        <v>55</v>
      </c>
      <c r="B349" s="70" t="s">
        <v>229</v>
      </c>
      <c r="C349" s="70">
        <v>0</v>
      </c>
      <c r="D349" s="70" t="s">
        <v>1137</v>
      </c>
      <c r="E349" s="70">
        <v>4</v>
      </c>
      <c r="F349" s="70"/>
      <c r="G349" s="70">
        <v>163.74</v>
      </c>
      <c r="H349" s="70">
        <v>-1.61</v>
      </c>
      <c r="I349" s="70">
        <v>7.24</v>
      </c>
      <c r="J349" s="70">
        <v>0.08</v>
      </c>
      <c r="K349" s="70">
        <v>3.33</v>
      </c>
      <c r="L349" s="70">
        <v>-0.86</v>
      </c>
      <c r="M349" s="68">
        <f t="shared" si="5"/>
        <v>-163.74</v>
      </c>
    </row>
    <row r="350" spans="1:13" x14ac:dyDescent="0.25">
      <c r="A350" s="70">
        <v>1886</v>
      </c>
      <c r="B350" s="70" t="s">
        <v>229</v>
      </c>
      <c r="C350" s="70">
        <v>0</v>
      </c>
      <c r="D350" s="70" t="s">
        <v>1314</v>
      </c>
      <c r="E350" s="70">
        <v>0</v>
      </c>
      <c r="F350" s="70"/>
      <c r="G350" s="70">
        <v>-765.5</v>
      </c>
      <c r="H350" s="70">
        <v>10.56</v>
      </c>
      <c r="I350" s="70">
        <v>7.24</v>
      </c>
      <c r="J350" s="70">
        <v>0.3</v>
      </c>
      <c r="K350" s="70">
        <v>-7.42</v>
      </c>
      <c r="L350" s="70">
        <v>5.17</v>
      </c>
      <c r="M350" s="68">
        <f t="shared" si="5"/>
        <v>765.5</v>
      </c>
    </row>
    <row r="351" spans="1:13" x14ac:dyDescent="0.25">
      <c r="A351" s="70">
        <v>5</v>
      </c>
      <c r="B351" s="70" t="s">
        <v>229</v>
      </c>
      <c r="C351" s="70">
        <v>0</v>
      </c>
      <c r="D351" s="70" t="s">
        <v>1103</v>
      </c>
      <c r="E351" s="70">
        <v>4</v>
      </c>
      <c r="F351" s="70"/>
      <c r="G351" s="70">
        <v>-293.10000000000002</v>
      </c>
      <c r="H351" s="70">
        <v>2.6</v>
      </c>
      <c r="I351" s="70">
        <v>7.23</v>
      </c>
      <c r="J351" s="70">
        <v>0.12</v>
      </c>
      <c r="K351" s="70">
        <v>-8.44</v>
      </c>
      <c r="L351" s="70">
        <v>-1.33</v>
      </c>
      <c r="M351" s="68">
        <f t="shared" si="5"/>
        <v>293.10000000000002</v>
      </c>
    </row>
    <row r="352" spans="1:13" x14ac:dyDescent="0.25">
      <c r="A352" s="70">
        <v>4</v>
      </c>
      <c r="B352" s="70" t="s">
        <v>229</v>
      </c>
      <c r="C352" s="70">
        <v>0</v>
      </c>
      <c r="D352" s="70" t="s">
        <v>1101</v>
      </c>
      <c r="E352" s="70">
        <v>4</v>
      </c>
      <c r="F352" s="70"/>
      <c r="G352" s="70">
        <v>-345.47</v>
      </c>
      <c r="H352" s="70">
        <v>2.71</v>
      </c>
      <c r="I352" s="70">
        <v>7.2</v>
      </c>
      <c r="J352" s="70">
        <v>0.11</v>
      </c>
      <c r="K352" s="70">
        <v>-7.24</v>
      </c>
      <c r="L352" s="70">
        <v>1.37</v>
      </c>
      <c r="M352" s="68">
        <f t="shared" si="5"/>
        <v>345.47</v>
      </c>
    </row>
    <row r="353" spans="1:13" x14ac:dyDescent="0.25">
      <c r="A353" s="70">
        <v>3</v>
      </c>
      <c r="B353" s="70" t="s">
        <v>229</v>
      </c>
      <c r="C353" s="70">
        <v>0</v>
      </c>
      <c r="D353" s="70" t="s">
        <v>1099</v>
      </c>
      <c r="E353" s="70">
        <v>4</v>
      </c>
      <c r="F353" s="70"/>
      <c r="G353" s="70">
        <v>-390.64</v>
      </c>
      <c r="H353" s="70">
        <v>2.5299999999999998</v>
      </c>
      <c r="I353" s="70">
        <v>7.17</v>
      </c>
      <c r="J353" s="70">
        <v>0.1</v>
      </c>
      <c r="K353" s="70">
        <v>-6</v>
      </c>
      <c r="L353" s="70">
        <v>-1.27</v>
      </c>
      <c r="M353" s="68">
        <f t="shared" si="5"/>
        <v>390.64</v>
      </c>
    </row>
    <row r="354" spans="1:13" x14ac:dyDescent="0.25">
      <c r="A354" s="70">
        <v>1958</v>
      </c>
      <c r="B354" s="70" t="s">
        <v>229</v>
      </c>
      <c r="C354" s="70">
        <v>0</v>
      </c>
      <c r="D354" s="70" t="s">
        <v>1393</v>
      </c>
      <c r="E354" s="70">
        <v>4</v>
      </c>
      <c r="F354" s="70"/>
      <c r="G354" s="70">
        <v>-421.81</v>
      </c>
      <c r="H354" s="70">
        <v>-9.82</v>
      </c>
      <c r="I354" s="70">
        <v>7.08</v>
      </c>
      <c r="J354" s="70">
        <v>-0.41</v>
      </c>
      <c r="K354" s="70">
        <v>-13.52</v>
      </c>
      <c r="L354" s="70">
        <v>5.21</v>
      </c>
      <c r="M354" s="68">
        <f t="shared" si="5"/>
        <v>421.81</v>
      </c>
    </row>
    <row r="355" spans="1:13" x14ac:dyDescent="0.25">
      <c r="A355" s="70">
        <v>12</v>
      </c>
      <c r="B355" s="70" t="s">
        <v>229</v>
      </c>
      <c r="C355" s="70">
        <v>0</v>
      </c>
      <c r="D355" s="70" t="s">
        <v>1116</v>
      </c>
      <c r="E355" s="70">
        <v>0</v>
      </c>
      <c r="F355" s="70"/>
      <c r="G355" s="70">
        <v>211.1</v>
      </c>
      <c r="H355" s="70">
        <v>-1.77</v>
      </c>
      <c r="I355" s="70">
        <v>7.03</v>
      </c>
      <c r="J355" s="70">
        <v>-0.14000000000000001</v>
      </c>
      <c r="K355" s="70">
        <v>6.29</v>
      </c>
      <c r="L355" s="70">
        <v>-0.92</v>
      </c>
      <c r="M355" s="68">
        <f t="shared" si="5"/>
        <v>-211.1</v>
      </c>
    </row>
    <row r="356" spans="1:13" x14ac:dyDescent="0.25">
      <c r="A356" s="70">
        <v>2234</v>
      </c>
      <c r="B356" s="70" t="s">
        <v>229</v>
      </c>
      <c r="C356" s="70">
        <v>0</v>
      </c>
      <c r="D356" s="70" t="s">
        <v>1681</v>
      </c>
      <c r="E356" s="70">
        <v>4</v>
      </c>
      <c r="F356" s="70"/>
      <c r="G356" s="70">
        <v>-419.86</v>
      </c>
      <c r="H356" s="70">
        <v>-9.85</v>
      </c>
      <c r="I356" s="70">
        <v>7.03</v>
      </c>
      <c r="J356" s="70">
        <v>-0.41</v>
      </c>
      <c r="K356" s="70">
        <v>-13.61</v>
      </c>
      <c r="L356" s="70">
        <v>5.22</v>
      </c>
      <c r="M356" s="68">
        <f t="shared" si="5"/>
        <v>419.86</v>
      </c>
    </row>
    <row r="357" spans="1:13" x14ac:dyDescent="0.25">
      <c r="A357" s="70">
        <v>2300</v>
      </c>
      <c r="B357" s="70" t="s">
        <v>229</v>
      </c>
      <c r="C357" s="70">
        <v>0</v>
      </c>
      <c r="D357" s="70" t="s">
        <v>1746</v>
      </c>
      <c r="E357" s="70">
        <v>0</v>
      </c>
      <c r="F357" s="70"/>
      <c r="G357" s="70">
        <v>-764.29</v>
      </c>
      <c r="H357" s="70">
        <v>-10.57</v>
      </c>
      <c r="I357" s="70">
        <v>6.98</v>
      </c>
      <c r="J357" s="70">
        <v>0.3</v>
      </c>
      <c r="K357" s="70">
        <v>-7.36</v>
      </c>
      <c r="L357" s="70">
        <v>-5.18</v>
      </c>
      <c r="M357" s="68">
        <f t="shared" si="5"/>
        <v>764.29</v>
      </c>
    </row>
    <row r="358" spans="1:13" x14ac:dyDescent="0.25">
      <c r="A358" s="70">
        <v>1938</v>
      </c>
      <c r="B358" s="70" t="s">
        <v>229</v>
      </c>
      <c r="C358" s="70">
        <v>0</v>
      </c>
      <c r="D358" s="70" t="s">
        <v>1357</v>
      </c>
      <c r="E358" s="70">
        <v>4</v>
      </c>
      <c r="F358" s="70"/>
      <c r="G358" s="70">
        <v>393.54</v>
      </c>
      <c r="H358" s="70">
        <v>-7.29</v>
      </c>
      <c r="I358" s="70">
        <v>6.95</v>
      </c>
      <c r="J358" s="70">
        <v>-0.33</v>
      </c>
      <c r="K358" s="70">
        <v>6.21</v>
      </c>
      <c r="L358" s="70">
        <v>4.04</v>
      </c>
      <c r="M358" s="68">
        <f t="shared" si="5"/>
        <v>-393.54</v>
      </c>
    </row>
    <row r="359" spans="1:13" x14ac:dyDescent="0.25">
      <c r="A359" s="70">
        <v>2083</v>
      </c>
      <c r="B359" s="70" t="s">
        <v>229</v>
      </c>
      <c r="C359" s="70">
        <v>0</v>
      </c>
      <c r="D359" s="70" t="s">
        <v>1515</v>
      </c>
      <c r="E359" s="70">
        <v>4</v>
      </c>
      <c r="F359" s="70"/>
      <c r="G359" s="70">
        <v>-415.51</v>
      </c>
      <c r="H359" s="70">
        <v>-9.84</v>
      </c>
      <c r="I359" s="70">
        <v>6.95</v>
      </c>
      <c r="J359" s="70">
        <v>-0.4</v>
      </c>
      <c r="K359" s="70">
        <v>-13.26</v>
      </c>
      <c r="L359" s="70">
        <v>4.58</v>
      </c>
      <c r="M359" s="68">
        <f t="shared" si="5"/>
        <v>415.51</v>
      </c>
    </row>
    <row r="360" spans="1:13" x14ac:dyDescent="0.25">
      <c r="A360" s="70">
        <v>2221</v>
      </c>
      <c r="B360" s="70" t="s">
        <v>229</v>
      </c>
      <c r="C360" s="70">
        <v>0</v>
      </c>
      <c r="D360" s="70" t="s">
        <v>1659</v>
      </c>
      <c r="E360" s="70">
        <v>4</v>
      </c>
      <c r="F360" s="70"/>
      <c r="G360" s="70">
        <v>-416.62</v>
      </c>
      <c r="H360" s="70">
        <v>-9.82</v>
      </c>
      <c r="I360" s="70">
        <v>6.94</v>
      </c>
      <c r="J360" s="70">
        <v>-0.4</v>
      </c>
      <c r="K360" s="70">
        <v>-13.35</v>
      </c>
      <c r="L360" s="70">
        <v>4.58</v>
      </c>
      <c r="M360" s="68">
        <f t="shared" si="5"/>
        <v>416.62</v>
      </c>
    </row>
    <row r="361" spans="1:13" x14ac:dyDescent="0.25">
      <c r="A361" s="70">
        <v>2034</v>
      </c>
      <c r="B361" s="70" t="s">
        <v>229</v>
      </c>
      <c r="C361" s="70">
        <v>0</v>
      </c>
      <c r="D361" s="70" t="s">
        <v>1479</v>
      </c>
      <c r="E361" s="70">
        <v>4</v>
      </c>
      <c r="F361" s="70"/>
      <c r="G361" s="70">
        <v>386.63</v>
      </c>
      <c r="H361" s="70">
        <v>-7.34</v>
      </c>
      <c r="I361" s="70">
        <v>6.93</v>
      </c>
      <c r="J361" s="70">
        <v>-0.33</v>
      </c>
      <c r="K361" s="70">
        <v>2.15</v>
      </c>
      <c r="L361" s="70">
        <v>3.23</v>
      </c>
      <c r="M361" s="68">
        <f t="shared" si="5"/>
        <v>-386.63</v>
      </c>
    </row>
    <row r="362" spans="1:13" x14ac:dyDescent="0.25">
      <c r="A362" s="70">
        <v>2172</v>
      </c>
      <c r="B362" s="70" t="s">
        <v>229</v>
      </c>
      <c r="C362" s="70">
        <v>0</v>
      </c>
      <c r="D362" s="70" t="s">
        <v>1623</v>
      </c>
      <c r="E362" s="70">
        <v>4</v>
      </c>
      <c r="F362" s="70"/>
      <c r="G362" s="70">
        <v>386.14</v>
      </c>
      <c r="H362" s="70">
        <v>-7.32</v>
      </c>
      <c r="I362" s="70">
        <v>6.91</v>
      </c>
      <c r="J362" s="70">
        <v>-0.33</v>
      </c>
      <c r="K362" s="70">
        <v>2.1800000000000002</v>
      </c>
      <c r="L362" s="70">
        <v>3.22</v>
      </c>
      <c r="M362" s="68">
        <f t="shared" si="5"/>
        <v>-386.14</v>
      </c>
    </row>
    <row r="363" spans="1:13" x14ac:dyDescent="0.25">
      <c r="A363" s="70">
        <v>1969</v>
      </c>
      <c r="B363" s="70" t="s">
        <v>229</v>
      </c>
      <c r="C363" s="70">
        <v>0</v>
      </c>
      <c r="D363" s="70" t="s">
        <v>1414</v>
      </c>
      <c r="E363" s="70">
        <v>0</v>
      </c>
      <c r="F363" s="70"/>
      <c r="G363" s="70">
        <v>156.44</v>
      </c>
      <c r="H363" s="70">
        <v>4.59</v>
      </c>
      <c r="I363" s="70">
        <v>6.89</v>
      </c>
      <c r="J363" s="70">
        <v>0.17</v>
      </c>
      <c r="K363" s="70">
        <v>18.18</v>
      </c>
      <c r="L363" s="70">
        <v>2.68</v>
      </c>
      <c r="M363" s="68">
        <f t="shared" si="5"/>
        <v>-156.44</v>
      </c>
    </row>
    <row r="364" spans="1:13" x14ac:dyDescent="0.25">
      <c r="A364" s="70">
        <v>2218</v>
      </c>
      <c r="B364" s="70" t="s">
        <v>229</v>
      </c>
      <c r="C364" s="70">
        <v>0</v>
      </c>
      <c r="D364" s="70" t="s">
        <v>1652</v>
      </c>
      <c r="E364" s="70">
        <v>0</v>
      </c>
      <c r="F364" s="70"/>
      <c r="G364" s="70">
        <v>174.32</v>
      </c>
      <c r="H364" s="70">
        <v>-7.65</v>
      </c>
      <c r="I364" s="70">
        <v>6.89</v>
      </c>
      <c r="J364" s="70">
        <v>-0.6</v>
      </c>
      <c r="K364" s="70">
        <v>7.93</v>
      </c>
      <c r="L364" s="70">
        <v>-3.81</v>
      </c>
      <c r="M364" s="68">
        <f t="shared" si="5"/>
        <v>-174.32</v>
      </c>
    </row>
    <row r="365" spans="1:13" x14ac:dyDescent="0.25">
      <c r="A365" s="70">
        <v>2350</v>
      </c>
      <c r="B365" s="70" t="s">
        <v>229</v>
      </c>
      <c r="C365" s="70">
        <v>0</v>
      </c>
      <c r="D365" s="70" t="s">
        <v>1784</v>
      </c>
      <c r="E365" s="70">
        <v>0</v>
      </c>
      <c r="F365" s="70"/>
      <c r="G365" s="70">
        <v>316.93</v>
      </c>
      <c r="H365" s="70">
        <v>-6.74</v>
      </c>
      <c r="I365" s="70">
        <v>6.89</v>
      </c>
      <c r="J365" s="70">
        <v>0.23</v>
      </c>
      <c r="K365" s="70">
        <v>10.16</v>
      </c>
      <c r="L365" s="70">
        <v>-2.97</v>
      </c>
      <c r="M365" s="68">
        <f t="shared" si="5"/>
        <v>-316.93</v>
      </c>
    </row>
    <row r="366" spans="1:13" x14ac:dyDescent="0.25">
      <c r="A366" s="70">
        <v>2080</v>
      </c>
      <c r="B366" s="70" t="s">
        <v>229</v>
      </c>
      <c r="C366" s="70">
        <v>0</v>
      </c>
      <c r="D366" s="70" t="s">
        <v>1508</v>
      </c>
      <c r="E366" s="70">
        <v>0</v>
      </c>
      <c r="F366" s="70"/>
      <c r="G366" s="70">
        <v>174.03</v>
      </c>
      <c r="H366" s="70">
        <v>-7.65</v>
      </c>
      <c r="I366" s="70">
        <v>6.86</v>
      </c>
      <c r="J366" s="70">
        <v>-0.6</v>
      </c>
      <c r="K366" s="70">
        <v>7.95</v>
      </c>
      <c r="L366" s="70">
        <v>-3.81</v>
      </c>
      <c r="M366" s="68">
        <f t="shared" si="5"/>
        <v>-174.03</v>
      </c>
    </row>
    <row r="367" spans="1:13" x14ac:dyDescent="0.25">
      <c r="A367" s="70">
        <v>2245</v>
      </c>
      <c r="B367" s="70" t="s">
        <v>229</v>
      </c>
      <c r="C367" s="70">
        <v>0</v>
      </c>
      <c r="D367" s="70" t="s">
        <v>1702</v>
      </c>
      <c r="E367" s="70">
        <v>0</v>
      </c>
      <c r="F367" s="70"/>
      <c r="G367" s="70">
        <v>155.63999999999999</v>
      </c>
      <c r="H367" s="70">
        <v>4.5999999999999996</v>
      </c>
      <c r="I367" s="70">
        <v>6.85</v>
      </c>
      <c r="J367" s="70">
        <v>0.17</v>
      </c>
      <c r="K367" s="70">
        <v>18.16</v>
      </c>
      <c r="L367" s="70">
        <v>2.68</v>
      </c>
      <c r="M367" s="68">
        <f t="shared" si="5"/>
        <v>-155.63999999999999</v>
      </c>
    </row>
    <row r="368" spans="1:13" x14ac:dyDescent="0.25">
      <c r="A368" s="70">
        <v>2352</v>
      </c>
      <c r="B368" s="70" t="s">
        <v>229</v>
      </c>
      <c r="C368" s="70">
        <v>0</v>
      </c>
      <c r="D368" s="70" t="s">
        <v>1789</v>
      </c>
      <c r="E368" s="70">
        <v>4</v>
      </c>
      <c r="F368" s="70"/>
      <c r="G368" s="70">
        <v>394.01</v>
      </c>
      <c r="H368" s="70">
        <v>-7.34</v>
      </c>
      <c r="I368" s="70">
        <v>6.84</v>
      </c>
      <c r="J368" s="70">
        <v>-0.34</v>
      </c>
      <c r="K368" s="70">
        <v>6.28</v>
      </c>
      <c r="L368" s="70">
        <v>4.07</v>
      </c>
      <c r="M368" s="68">
        <f t="shared" si="5"/>
        <v>-394.01</v>
      </c>
    </row>
    <row r="369" spans="1:13" x14ac:dyDescent="0.25">
      <c r="A369" s="70">
        <v>2349</v>
      </c>
      <c r="B369" s="70" t="s">
        <v>229</v>
      </c>
      <c r="C369" s="70">
        <v>0</v>
      </c>
      <c r="D369" s="70" t="s">
        <v>1782</v>
      </c>
      <c r="E369" s="70">
        <v>0</v>
      </c>
      <c r="F369" s="70"/>
      <c r="G369" s="70">
        <v>262.47000000000003</v>
      </c>
      <c r="H369" s="70">
        <v>-5.86</v>
      </c>
      <c r="I369" s="70">
        <v>6.83</v>
      </c>
      <c r="J369" s="70">
        <v>0.2</v>
      </c>
      <c r="K369" s="70">
        <v>17.420000000000002</v>
      </c>
      <c r="L369" s="70">
        <v>-2.57</v>
      </c>
      <c r="M369" s="68">
        <f t="shared" si="5"/>
        <v>-262.47000000000003</v>
      </c>
    </row>
    <row r="370" spans="1:13" x14ac:dyDescent="0.25">
      <c r="A370" s="70">
        <v>1936</v>
      </c>
      <c r="B370" s="70" t="s">
        <v>229</v>
      </c>
      <c r="C370" s="70">
        <v>0</v>
      </c>
      <c r="D370" s="70" t="s">
        <v>1352</v>
      </c>
      <c r="E370" s="70">
        <v>0</v>
      </c>
      <c r="F370" s="70"/>
      <c r="G370" s="70">
        <v>316.64999999999998</v>
      </c>
      <c r="H370" s="70">
        <v>-6.71</v>
      </c>
      <c r="I370" s="70">
        <v>6.78</v>
      </c>
      <c r="J370" s="70">
        <v>0.23</v>
      </c>
      <c r="K370" s="70">
        <v>10.19</v>
      </c>
      <c r="L370" s="70">
        <v>-2.96</v>
      </c>
      <c r="M370" s="68">
        <f t="shared" si="5"/>
        <v>-316.64999999999998</v>
      </c>
    </row>
    <row r="371" spans="1:13" x14ac:dyDescent="0.25">
      <c r="A371" s="70">
        <v>2567</v>
      </c>
      <c r="B371" s="70" t="s">
        <v>229</v>
      </c>
      <c r="C371" s="70">
        <v>0</v>
      </c>
      <c r="D371" s="70" t="s">
        <v>2021</v>
      </c>
      <c r="E371" s="70">
        <v>4</v>
      </c>
      <c r="F371" s="70"/>
      <c r="G371" s="70">
        <v>-294.31</v>
      </c>
      <c r="H371" s="70">
        <v>2.6</v>
      </c>
      <c r="I371" s="70">
        <v>6.75</v>
      </c>
      <c r="J371" s="70">
        <v>0.12</v>
      </c>
      <c r="K371" s="70">
        <v>-7.98</v>
      </c>
      <c r="L371" s="70">
        <v>-1.25</v>
      </c>
      <c r="M371" s="68">
        <f t="shared" si="5"/>
        <v>294.31</v>
      </c>
    </row>
    <row r="372" spans="1:13" x14ac:dyDescent="0.25">
      <c r="A372" s="70">
        <v>65</v>
      </c>
      <c r="B372" s="70" t="s">
        <v>229</v>
      </c>
      <c r="C372" s="70">
        <v>0</v>
      </c>
      <c r="D372" s="70" t="s">
        <v>1157</v>
      </c>
      <c r="E372" s="70">
        <v>4</v>
      </c>
      <c r="F372" s="70"/>
      <c r="G372" s="70">
        <v>-293.64999999999998</v>
      </c>
      <c r="H372" s="70">
        <v>-2.61</v>
      </c>
      <c r="I372" s="70">
        <v>6.74</v>
      </c>
      <c r="J372" s="70">
        <v>0.12</v>
      </c>
      <c r="K372" s="70">
        <v>-7.98</v>
      </c>
      <c r="L372" s="70">
        <v>1.25</v>
      </c>
      <c r="M372" s="68">
        <f t="shared" si="5"/>
        <v>293.64999999999998</v>
      </c>
    </row>
    <row r="373" spans="1:13" x14ac:dyDescent="0.25">
      <c r="A373" s="70">
        <v>2558</v>
      </c>
      <c r="B373" s="70" t="s">
        <v>229</v>
      </c>
      <c r="C373" s="70">
        <v>0</v>
      </c>
      <c r="D373" s="70" t="s">
        <v>2003</v>
      </c>
      <c r="E373" s="70">
        <v>4</v>
      </c>
      <c r="F373" s="70"/>
      <c r="G373" s="70">
        <v>181.44</v>
      </c>
      <c r="H373" s="70">
        <v>-1.72</v>
      </c>
      <c r="I373" s="70">
        <v>6.73</v>
      </c>
      <c r="J373" s="70">
        <v>-0.09</v>
      </c>
      <c r="K373" s="70">
        <v>2.94</v>
      </c>
      <c r="L373" s="70">
        <v>0.91</v>
      </c>
      <c r="M373" s="68">
        <f t="shared" si="5"/>
        <v>-181.44</v>
      </c>
    </row>
    <row r="374" spans="1:13" x14ac:dyDescent="0.25">
      <c r="A374" s="70">
        <v>56</v>
      </c>
      <c r="B374" s="70" t="s">
        <v>229</v>
      </c>
      <c r="C374" s="70">
        <v>0</v>
      </c>
      <c r="D374" s="70" t="s">
        <v>1139</v>
      </c>
      <c r="E374" s="70">
        <v>4</v>
      </c>
      <c r="F374" s="70"/>
      <c r="G374" s="70">
        <v>181.2</v>
      </c>
      <c r="H374" s="70">
        <v>1.72</v>
      </c>
      <c r="I374" s="70">
        <v>6.72</v>
      </c>
      <c r="J374" s="70">
        <v>0.09</v>
      </c>
      <c r="K374" s="70">
        <v>2.93</v>
      </c>
      <c r="L374" s="70">
        <v>-0.91</v>
      </c>
      <c r="M374" s="68">
        <f t="shared" si="5"/>
        <v>-181.2</v>
      </c>
    </row>
    <row r="375" spans="1:13" x14ac:dyDescent="0.25">
      <c r="A375" s="70">
        <v>2556</v>
      </c>
      <c r="B375" s="70" t="s">
        <v>229</v>
      </c>
      <c r="C375" s="70">
        <v>0</v>
      </c>
      <c r="D375" s="70" t="s">
        <v>1999</v>
      </c>
      <c r="E375" s="70">
        <v>4</v>
      </c>
      <c r="F375" s="70"/>
      <c r="G375" s="70">
        <v>137.13</v>
      </c>
      <c r="H375" s="70">
        <v>-1.4</v>
      </c>
      <c r="I375" s="70">
        <v>6.68</v>
      </c>
      <c r="J375" s="70">
        <v>7.0000000000000007E-2</v>
      </c>
      <c r="K375" s="70">
        <v>5.43</v>
      </c>
      <c r="L375" s="70">
        <v>0.75</v>
      </c>
      <c r="M375" s="68">
        <f t="shared" si="5"/>
        <v>-137.13</v>
      </c>
    </row>
    <row r="376" spans="1:13" x14ac:dyDescent="0.25">
      <c r="A376" s="70">
        <v>1935</v>
      </c>
      <c r="B376" s="70" t="s">
        <v>229</v>
      </c>
      <c r="C376" s="70">
        <v>0</v>
      </c>
      <c r="D376" s="70" t="s">
        <v>1350</v>
      </c>
      <c r="E376" s="70">
        <v>0</v>
      </c>
      <c r="F376" s="70"/>
      <c r="G376" s="70">
        <v>262.27999999999997</v>
      </c>
      <c r="H376" s="70">
        <v>-5.84</v>
      </c>
      <c r="I376" s="70">
        <v>6.62</v>
      </c>
      <c r="J376" s="70">
        <v>0.2</v>
      </c>
      <c r="K376" s="70">
        <v>17.45</v>
      </c>
      <c r="L376" s="70">
        <v>-2.56</v>
      </c>
      <c r="M376" s="68">
        <f t="shared" si="5"/>
        <v>-262.27999999999997</v>
      </c>
    </row>
    <row r="377" spans="1:13" x14ac:dyDescent="0.25">
      <c r="A377" s="70">
        <v>2101</v>
      </c>
      <c r="B377" s="70" t="s">
        <v>229</v>
      </c>
      <c r="C377" s="70">
        <v>0</v>
      </c>
      <c r="D377" s="70" t="s">
        <v>1547</v>
      </c>
      <c r="E377" s="70">
        <v>4</v>
      </c>
      <c r="F377" s="70"/>
      <c r="G377" s="70">
        <v>395.62</v>
      </c>
      <c r="H377" s="70">
        <v>-7.37</v>
      </c>
      <c r="I377" s="70">
        <v>6.62</v>
      </c>
      <c r="J377" s="70">
        <v>-0.49</v>
      </c>
      <c r="K377" s="70">
        <v>7.24</v>
      </c>
      <c r="L377" s="70">
        <v>3.4</v>
      </c>
      <c r="M377" s="68">
        <f t="shared" si="5"/>
        <v>-395.62</v>
      </c>
    </row>
    <row r="378" spans="1:13" x14ac:dyDescent="0.25">
      <c r="A378" s="70">
        <v>54</v>
      </c>
      <c r="B378" s="70" t="s">
        <v>229</v>
      </c>
      <c r="C378" s="70">
        <v>0</v>
      </c>
      <c r="D378" s="70" t="s">
        <v>1135</v>
      </c>
      <c r="E378" s="70">
        <v>4</v>
      </c>
      <c r="F378" s="70"/>
      <c r="G378" s="70">
        <v>136.97999999999999</v>
      </c>
      <c r="H378" s="70">
        <v>-1.4</v>
      </c>
      <c r="I378" s="70">
        <v>6.53</v>
      </c>
      <c r="J378" s="70">
        <v>7.0000000000000007E-2</v>
      </c>
      <c r="K378" s="70">
        <v>5.53</v>
      </c>
      <c r="L378" s="70">
        <v>0.74</v>
      </c>
      <c r="M378" s="68">
        <f t="shared" si="5"/>
        <v>-136.97999999999999</v>
      </c>
    </row>
    <row r="379" spans="1:13" x14ac:dyDescent="0.25">
      <c r="A379" s="70">
        <v>2025</v>
      </c>
      <c r="B379" s="70" t="s">
        <v>229</v>
      </c>
      <c r="C379" s="70">
        <v>0</v>
      </c>
      <c r="D379" s="70" t="s">
        <v>1461</v>
      </c>
      <c r="E379" s="70">
        <v>4</v>
      </c>
      <c r="F379" s="70"/>
      <c r="G379" s="70">
        <v>-659.55</v>
      </c>
      <c r="H379" s="70">
        <v>-11.31</v>
      </c>
      <c r="I379" s="70">
        <v>6.52</v>
      </c>
      <c r="J379" s="70">
        <v>0.3</v>
      </c>
      <c r="K379" s="70">
        <v>-11.65</v>
      </c>
      <c r="L379" s="70">
        <v>5.88</v>
      </c>
      <c r="M379" s="68">
        <f t="shared" si="5"/>
        <v>659.55</v>
      </c>
    </row>
    <row r="380" spans="1:13" x14ac:dyDescent="0.25">
      <c r="A380" s="70">
        <v>2521</v>
      </c>
      <c r="B380" s="70" t="s">
        <v>229</v>
      </c>
      <c r="C380" s="70">
        <v>0</v>
      </c>
      <c r="D380" s="70" t="s">
        <v>1991</v>
      </c>
      <c r="E380" s="70">
        <v>4</v>
      </c>
      <c r="F380" s="70"/>
      <c r="G380" s="70">
        <v>78.209999999999994</v>
      </c>
      <c r="H380" s="70">
        <v>1.1000000000000001</v>
      </c>
      <c r="I380" s="70">
        <v>6.51</v>
      </c>
      <c r="J380" s="70">
        <v>0.06</v>
      </c>
      <c r="K380" s="70">
        <v>6.09</v>
      </c>
      <c r="L380" s="70">
        <v>-0.51</v>
      </c>
      <c r="M380" s="68">
        <f t="shared" si="5"/>
        <v>-78.209999999999994</v>
      </c>
    </row>
    <row r="381" spans="1:13" x14ac:dyDescent="0.25">
      <c r="A381" s="70">
        <v>1955</v>
      </c>
      <c r="B381" s="70" t="s">
        <v>229</v>
      </c>
      <c r="C381" s="70">
        <v>0</v>
      </c>
      <c r="D381" s="70" t="s">
        <v>1386</v>
      </c>
      <c r="E381" s="70">
        <v>0</v>
      </c>
      <c r="F381" s="70"/>
      <c r="G381" s="70">
        <v>-757.59</v>
      </c>
      <c r="H381" s="70">
        <v>10.56</v>
      </c>
      <c r="I381" s="70">
        <v>6.48</v>
      </c>
      <c r="J381" s="70">
        <v>0.3</v>
      </c>
      <c r="K381" s="70">
        <v>-6.74</v>
      </c>
      <c r="L381" s="70">
        <v>5.17</v>
      </c>
      <c r="M381" s="68">
        <f t="shared" si="5"/>
        <v>757.59</v>
      </c>
    </row>
    <row r="382" spans="1:13" x14ac:dyDescent="0.25">
      <c r="A382" s="70">
        <v>2163</v>
      </c>
      <c r="B382" s="70" t="s">
        <v>229</v>
      </c>
      <c r="C382" s="70">
        <v>0</v>
      </c>
      <c r="D382" s="70" t="s">
        <v>1605</v>
      </c>
      <c r="E382" s="70">
        <v>4</v>
      </c>
      <c r="F382" s="70"/>
      <c r="G382" s="70">
        <v>-659.35</v>
      </c>
      <c r="H382" s="70">
        <v>-11.32</v>
      </c>
      <c r="I382" s="70">
        <v>6.46</v>
      </c>
      <c r="J382" s="70">
        <v>0.3</v>
      </c>
      <c r="K382" s="70">
        <v>-11.58</v>
      </c>
      <c r="L382" s="70">
        <v>5.88</v>
      </c>
      <c r="M382" s="68">
        <f t="shared" si="5"/>
        <v>659.35</v>
      </c>
    </row>
    <row r="383" spans="1:13" x14ac:dyDescent="0.25">
      <c r="A383" s="70">
        <v>2219</v>
      </c>
      <c r="B383" s="70" t="s">
        <v>229</v>
      </c>
      <c r="C383" s="70">
        <v>0</v>
      </c>
      <c r="D383" s="70" t="s">
        <v>1654</v>
      </c>
      <c r="E383" s="70">
        <v>0</v>
      </c>
      <c r="F383" s="70"/>
      <c r="G383" s="70">
        <v>-47.47</v>
      </c>
      <c r="H383" s="70">
        <v>-8.18</v>
      </c>
      <c r="I383" s="70">
        <v>6.32</v>
      </c>
      <c r="J383" s="70">
        <v>-0.56999999999999995</v>
      </c>
      <c r="K383" s="70">
        <v>-3.34</v>
      </c>
      <c r="L383" s="70">
        <v>-4.21</v>
      </c>
      <c r="M383" s="68">
        <f t="shared" si="5"/>
        <v>47.47</v>
      </c>
    </row>
    <row r="384" spans="1:13" x14ac:dyDescent="0.25">
      <c r="A384" s="70">
        <v>2013</v>
      </c>
      <c r="B384" s="70" t="s">
        <v>229</v>
      </c>
      <c r="C384" s="70">
        <v>0</v>
      </c>
      <c r="D384" s="70" t="s">
        <v>1440</v>
      </c>
      <c r="E384" s="70">
        <v>0</v>
      </c>
      <c r="F384" s="70"/>
      <c r="G384" s="70">
        <v>-244.1</v>
      </c>
      <c r="H384" s="70">
        <v>-8.91</v>
      </c>
      <c r="I384" s="70">
        <v>6.31</v>
      </c>
      <c r="J384" s="70">
        <v>-0.51</v>
      </c>
      <c r="K384" s="70">
        <v>-10.35</v>
      </c>
      <c r="L384" s="70">
        <v>-4.7</v>
      </c>
      <c r="M384" s="68">
        <f t="shared" si="5"/>
        <v>244.1</v>
      </c>
    </row>
    <row r="385" spans="1:13" x14ac:dyDescent="0.25">
      <c r="A385" s="70">
        <v>2081</v>
      </c>
      <c r="B385" s="70" t="s">
        <v>229</v>
      </c>
      <c r="C385" s="70">
        <v>0</v>
      </c>
      <c r="D385" s="70" t="s">
        <v>1510</v>
      </c>
      <c r="E385" s="70">
        <v>0</v>
      </c>
      <c r="F385" s="70"/>
      <c r="G385" s="70">
        <v>-47.06</v>
      </c>
      <c r="H385" s="70">
        <v>-8.19</v>
      </c>
      <c r="I385" s="70">
        <v>6.29</v>
      </c>
      <c r="J385" s="70">
        <v>-0.56999999999999995</v>
      </c>
      <c r="K385" s="70">
        <v>-3.27</v>
      </c>
      <c r="L385" s="70">
        <v>-4.21</v>
      </c>
      <c r="M385" s="68">
        <f t="shared" si="5"/>
        <v>47.06</v>
      </c>
    </row>
    <row r="386" spans="1:13" x14ac:dyDescent="0.25">
      <c r="A386" s="70">
        <v>17</v>
      </c>
      <c r="B386" s="70" t="s">
        <v>229</v>
      </c>
      <c r="C386" s="70">
        <v>0</v>
      </c>
      <c r="D386" s="70" t="s">
        <v>1127</v>
      </c>
      <c r="E386" s="70">
        <v>4</v>
      </c>
      <c r="F386" s="70"/>
      <c r="G386" s="70">
        <v>78.73</v>
      </c>
      <c r="H386" s="70">
        <v>1.1000000000000001</v>
      </c>
      <c r="I386" s="70">
        <v>6.26</v>
      </c>
      <c r="J386" s="70">
        <v>0.06</v>
      </c>
      <c r="K386" s="70">
        <v>6.05</v>
      </c>
      <c r="L386" s="70">
        <v>0.51</v>
      </c>
      <c r="M386" s="68">
        <f t="shared" ref="M386:M449" si="6">G386*-1</f>
        <v>-78.73</v>
      </c>
    </row>
    <row r="387" spans="1:13" x14ac:dyDescent="0.25">
      <c r="A387" s="70">
        <v>2231</v>
      </c>
      <c r="B387" s="70" t="s">
        <v>229</v>
      </c>
      <c r="C387" s="70">
        <v>0</v>
      </c>
      <c r="D387" s="70" t="s">
        <v>1674</v>
      </c>
      <c r="E387" s="70">
        <v>0</v>
      </c>
      <c r="F387" s="70"/>
      <c r="G387" s="70">
        <v>-756.76</v>
      </c>
      <c r="H387" s="70">
        <v>-10.57</v>
      </c>
      <c r="I387" s="70">
        <v>6.26</v>
      </c>
      <c r="J387" s="70">
        <v>0.3</v>
      </c>
      <c r="K387" s="70">
        <v>-6.73</v>
      </c>
      <c r="L387" s="70">
        <v>-5.18</v>
      </c>
      <c r="M387" s="68">
        <f t="shared" si="6"/>
        <v>756.76</v>
      </c>
    </row>
    <row r="388" spans="1:13" x14ac:dyDescent="0.25">
      <c r="A388" s="70">
        <v>2289</v>
      </c>
      <c r="B388" s="70" t="s">
        <v>229</v>
      </c>
      <c r="C388" s="70">
        <v>0</v>
      </c>
      <c r="D388" s="70" t="s">
        <v>1728</v>
      </c>
      <c r="E388" s="70">
        <v>0</v>
      </c>
      <c r="F388" s="70"/>
      <c r="G388" s="70">
        <v>-245.6</v>
      </c>
      <c r="H388" s="70">
        <v>-8.89</v>
      </c>
      <c r="I388" s="70">
        <v>6.21</v>
      </c>
      <c r="J388" s="70">
        <v>-0.51</v>
      </c>
      <c r="K388" s="70">
        <v>-10.31</v>
      </c>
      <c r="L388" s="70">
        <v>-4.68</v>
      </c>
      <c r="M388" s="68">
        <f t="shared" si="6"/>
        <v>245.6</v>
      </c>
    </row>
    <row r="389" spans="1:13" x14ac:dyDescent="0.25">
      <c r="A389" s="70">
        <v>2148</v>
      </c>
      <c r="B389" s="70" t="s">
        <v>229</v>
      </c>
      <c r="C389" s="70">
        <v>0</v>
      </c>
      <c r="D389" s="70" t="s">
        <v>1579</v>
      </c>
      <c r="E389" s="70">
        <v>4</v>
      </c>
      <c r="F389" s="70"/>
      <c r="G389" s="70">
        <v>327.11</v>
      </c>
      <c r="H389" s="70">
        <v>-7.37</v>
      </c>
      <c r="I389" s="70">
        <v>6.19</v>
      </c>
      <c r="J389" s="70">
        <v>-0.56000000000000005</v>
      </c>
      <c r="K389" s="70">
        <v>7.19</v>
      </c>
      <c r="L389" s="70">
        <v>3.81</v>
      </c>
      <c r="M389" s="68">
        <f t="shared" si="6"/>
        <v>-327.11</v>
      </c>
    </row>
    <row r="390" spans="1:13" x14ac:dyDescent="0.25">
      <c r="A390" s="70">
        <v>2213</v>
      </c>
      <c r="B390" s="70" t="s">
        <v>229</v>
      </c>
      <c r="C390" s="70">
        <v>0</v>
      </c>
      <c r="D390" s="70" t="s">
        <v>1643</v>
      </c>
      <c r="E390" s="70">
        <v>4</v>
      </c>
      <c r="F390" s="70"/>
      <c r="G390" s="70">
        <v>354.24</v>
      </c>
      <c r="H390" s="70">
        <v>7.15</v>
      </c>
      <c r="I390" s="70">
        <v>6.14</v>
      </c>
      <c r="J390" s="70">
        <v>0.27</v>
      </c>
      <c r="K390" s="70">
        <v>2.4500000000000002</v>
      </c>
      <c r="L390" s="70">
        <v>4.0199999999999996</v>
      </c>
      <c r="M390" s="68">
        <f t="shared" si="6"/>
        <v>-354.24</v>
      </c>
    </row>
    <row r="391" spans="1:13" x14ac:dyDescent="0.25">
      <c r="A391" s="70">
        <v>57</v>
      </c>
      <c r="B391" s="70" t="s">
        <v>229</v>
      </c>
      <c r="C391" s="70">
        <v>0</v>
      </c>
      <c r="D391" s="70" t="s">
        <v>1141</v>
      </c>
      <c r="E391" s="70">
        <v>4</v>
      </c>
      <c r="F391" s="70"/>
      <c r="G391" s="70">
        <v>199.06</v>
      </c>
      <c r="H391" s="70">
        <v>-1.75</v>
      </c>
      <c r="I391" s="70">
        <v>6.13</v>
      </c>
      <c r="J391" s="70">
        <v>-0.12</v>
      </c>
      <c r="K391" s="70">
        <v>4.3499999999999996</v>
      </c>
      <c r="L391" s="70">
        <v>0.92</v>
      </c>
      <c r="M391" s="68">
        <f t="shared" si="6"/>
        <v>-199.06</v>
      </c>
    </row>
    <row r="392" spans="1:13" x14ac:dyDescent="0.25">
      <c r="A392" s="70">
        <v>2075</v>
      </c>
      <c r="B392" s="70" t="s">
        <v>229</v>
      </c>
      <c r="C392" s="70">
        <v>0</v>
      </c>
      <c r="D392" s="70" t="s">
        <v>1499</v>
      </c>
      <c r="E392" s="70">
        <v>4</v>
      </c>
      <c r="F392" s="70"/>
      <c r="G392" s="70">
        <v>353.82</v>
      </c>
      <c r="H392" s="70">
        <v>7.17</v>
      </c>
      <c r="I392" s="70">
        <v>6.13</v>
      </c>
      <c r="J392" s="70">
        <v>0.27</v>
      </c>
      <c r="K392" s="70">
        <v>2.41</v>
      </c>
      <c r="L392" s="70">
        <v>-4.0199999999999996</v>
      </c>
      <c r="M392" s="68">
        <f t="shared" si="6"/>
        <v>-353.82</v>
      </c>
    </row>
    <row r="393" spans="1:13" x14ac:dyDescent="0.25">
      <c r="A393" s="70">
        <v>2038</v>
      </c>
      <c r="B393" s="70" t="s">
        <v>229</v>
      </c>
      <c r="C393" s="70">
        <v>0</v>
      </c>
      <c r="D393" s="70" t="s">
        <v>1486</v>
      </c>
      <c r="E393" s="70">
        <v>0</v>
      </c>
      <c r="F393" s="70"/>
      <c r="G393" s="70">
        <v>154.34</v>
      </c>
      <c r="H393" s="70">
        <v>4.5999999999999996</v>
      </c>
      <c r="I393" s="70">
        <v>6.12</v>
      </c>
      <c r="J393" s="70">
        <v>0.17</v>
      </c>
      <c r="K393" s="70">
        <v>18.02</v>
      </c>
      <c r="L393" s="70">
        <v>2.68</v>
      </c>
      <c r="M393" s="68">
        <f t="shared" si="6"/>
        <v>-154.34</v>
      </c>
    </row>
    <row r="394" spans="1:13" x14ac:dyDescent="0.25">
      <c r="A394" s="70">
        <v>2015</v>
      </c>
      <c r="B394" s="70" t="s">
        <v>229</v>
      </c>
      <c r="C394" s="70">
        <v>0</v>
      </c>
      <c r="D394" s="70" t="s">
        <v>1445</v>
      </c>
      <c r="E394" s="70">
        <v>4</v>
      </c>
      <c r="F394" s="70"/>
      <c r="G394" s="70">
        <v>-560.16</v>
      </c>
      <c r="H394" s="70">
        <v>-10.87</v>
      </c>
      <c r="I394" s="70">
        <v>6.1</v>
      </c>
      <c r="J394" s="70">
        <v>0.33</v>
      </c>
      <c r="K394" s="70">
        <v>-12.67</v>
      </c>
      <c r="L394" s="70">
        <v>5.07</v>
      </c>
      <c r="M394" s="68">
        <f t="shared" si="6"/>
        <v>560.16</v>
      </c>
    </row>
    <row r="395" spans="1:13" x14ac:dyDescent="0.25">
      <c r="A395" s="70">
        <v>2176</v>
      </c>
      <c r="B395" s="70" t="s">
        <v>229</v>
      </c>
      <c r="C395" s="70">
        <v>0</v>
      </c>
      <c r="D395" s="70" t="s">
        <v>1630</v>
      </c>
      <c r="E395" s="70">
        <v>0</v>
      </c>
      <c r="F395" s="70"/>
      <c r="G395" s="70">
        <v>153.66</v>
      </c>
      <c r="H395" s="70">
        <v>4.5999999999999996</v>
      </c>
      <c r="I395" s="70">
        <v>6.09</v>
      </c>
      <c r="J395" s="70">
        <v>0.17</v>
      </c>
      <c r="K395" s="70">
        <v>18.010000000000002</v>
      </c>
      <c r="L395" s="70">
        <v>2.68</v>
      </c>
      <c r="M395" s="68">
        <f t="shared" si="6"/>
        <v>-153.66</v>
      </c>
    </row>
    <row r="396" spans="1:13" x14ac:dyDescent="0.25">
      <c r="A396" s="70">
        <v>2291</v>
      </c>
      <c r="B396" s="70" t="s">
        <v>229</v>
      </c>
      <c r="C396" s="70">
        <v>0</v>
      </c>
      <c r="D396" s="70" t="s">
        <v>1733</v>
      </c>
      <c r="E396" s="70">
        <v>4</v>
      </c>
      <c r="F396" s="70"/>
      <c r="G396" s="70">
        <v>-559.97</v>
      </c>
      <c r="H396" s="70">
        <v>-10.84</v>
      </c>
      <c r="I396" s="70">
        <v>6.09</v>
      </c>
      <c r="J396" s="70">
        <v>0.33</v>
      </c>
      <c r="K396" s="70">
        <v>-12.71</v>
      </c>
      <c r="L396" s="70">
        <v>5.0599999999999996</v>
      </c>
      <c r="M396" s="68">
        <f t="shared" si="6"/>
        <v>559.97</v>
      </c>
    </row>
    <row r="397" spans="1:13" x14ac:dyDescent="0.25">
      <c r="A397" s="70">
        <v>2559</v>
      </c>
      <c r="B397" s="70" t="s">
        <v>229</v>
      </c>
      <c r="C397" s="70">
        <v>0</v>
      </c>
      <c r="D397" s="70" t="s">
        <v>2005</v>
      </c>
      <c r="E397" s="70">
        <v>4</v>
      </c>
      <c r="F397" s="70"/>
      <c r="G397" s="70">
        <v>199.4</v>
      </c>
      <c r="H397" s="70">
        <v>-1.76</v>
      </c>
      <c r="I397" s="70">
        <v>6.03</v>
      </c>
      <c r="J397" s="70">
        <v>-0.12</v>
      </c>
      <c r="K397" s="70">
        <v>4.41</v>
      </c>
      <c r="L397" s="70">
        <v>0.93</v>
      </c>
      <c r="M397" s="68">
        <f t="shared" si="6"/>
        <v>-199.4</v>
      </c>
    </row>
    <row r="398" spans="1:13" x14ac:dyDescent="0.25">
      <c r="A398" s="70">
        <v>2004</v>
      </c>
      <c r="B398" s="70" t="s">
        <v>229</v>
      </c>
      <c r="C398" s="70">
        <v>0</v>
      </c>
      <c r="D398" s="70" t="s">
        <v>1422</v>
      </c>
      <c r="E398" s="70">
        <v>0</v>
      </c>
      <c r="F398" s="70"/>
      <c r="G398" s="70">
        <v>260.33</v>
      </c>
      <c r="H398" s="70">
        <v>-5.84</v>
      </c>
      <c r="I398" s="70">
        <v>6.01</v>
      </c>
      <c r="J398" s="70">
        <v>0.2</v>
      </c>
      <c r="K398" s="70">
        <v>17.329999999999998</v>
      </c>
      <c r="L398" s="70">
        <v>-2.56</v>
      </c>
      <c r="M398" s="68">
        <f t="shared" si="6"/>
        <v>-260.33</v>
      </c>
    </row>
    <row r="399" spans="1:13" x14ac:dyDescent="0.25">
      <c r="A399" s="70">
        <v>2078</v>
      </c>
      <c r="B399" s="70" t="s">
        <v>229</v>
      </c>
      <c r="C399" s="70">
        <v>0</v>
      </c>
      <c r="D399" s="70" t="s">
        <v>1505</v>
      </c>
      <c r="E399" s="70">
        <v>4</v>
      </c>
      <c r="F399" s="70"/>
      <c r="G399" s="70">
        <v>407.08</v>
      </c>
      <c r="H399" s="70">
        <v>-7.35</v>
      </c>
      <c r="I399" s="70">
        <v>5.99</v>
      </c>
      <c r="J399" s="70">
        <v>-0.5</v>
      </c>
      <c r="K399" s="70">
        <v>8.36</v>
      </c>
      <c r="L399" s="70">
        <v>3.91</v>
      </c>
      <c r="M399" s="68">
        <f t="shared" si="6"/>
        <v>-407.08</v>
      </c>
    </row>
    <row r="400" spans="1:13" x14ac:dyDescent="0.25">
      <c r="A400" s="70">
        <v>2280</v>
      </c>
      <c r="B400" s="70" t="s">
        <v>229</v>
      </c>
      <c r="C400" s="70">
        <v>0</v>
      </c>
      <c r="D400" s="70" t="s">
        <v>1710</v>
      </c>
      <c r="E400" s="70">
        <v>0</v>
      </c>
      <c r="F400" s="70"/>
      <c r="G400" s="70">
        <v>260.58</v>
      </c>
      <c r="H400" s="70">
        <v>-5.86</v>
      </c>
      <c r="I400" s="70">
        <v>5.94</v>
      </c>
      <c r="J400" s="70">
        <v>0.2</v>
      </c>
      <c r="K400" s="70">
        <v>17.309999999999999</v>
      </c>
      <c r="L400" s="70">
        <v>-2.57</v>
      </c>
      <c r="M400" s="68">
        <f t="shared" si="6"/>
        <v>-260.58</v>
      </c>
    </row>
    <row r="401" spans="1:13" x14ac:dyDescent="0.25">
      <c r="A401" s="70">
        <v>2216</v>
      </c>
      <c r="B401" s="70" t="s">
        <v>229</v>
      </c>
      <c r="C401" s="70">
        <v>0</v>
      </c>
      <c r="D401" s="70" t="s">
        <v>1649</v>
      </c>
      <c r="E401" s="70">
        <v>4</v>
      </c>
      <c r="F401" s="70"/>
      <c r="G401" s="70">
        <v>407.55</v>
      </c>
      <c r="H401" s="70">
        <v>-7.36</v>
      </c>
      <c r="I401" s="70">
        <v>5.92</v>
      </c>
      <c r="J401" s="70">
        <v>-0.5</v>
      </c>
      <c r="K401" s="70">
        <v>8.39</v>
      </c>
      <c r="L401" s="70">
        <v>3.91</v>
      </c>
      <c r="M401" s="68">
        <f t="shared" si="6"/>
        <v>-407.55</v>
      </c>
    </row>
    <row r="402" spans="1:13" x14ac:dyDescent="0.25">
      <c r="A402" s="70">
        <v>2094</v>
      </c>
      <c r="B402" s="70" t="s">
        <v>229</v>
      </c>
      <c r="C402" s="70">
        <v>0</v>
      </c>
      <c r="D402" s="70" t="s">
        <v>1533</v>
      </c>
      <c r="E402" s="70">
        <v>4</v>
      </c>
      <c r="F402" s="70"/>
      <c r="G402" s="70">
        <v>-653.14</v>
      </c>
      <c r="H402" s="70">
        <v>-11.32</v>
      </c>
      <c r="I402" s="70">
        <v>5.91</v>
      </c>
      <c r="J402" s="70">
        <v>0.3</v>
      </c>
      <c r="K402" s="70">
        <v>-11.35</v>
      </c>
      <c r="L402" s="70">
        <v>5.88</v>
      </c>
      <c r="M402" s="68">
        <f t="shared" si="6"/>
        <v>653.14</v>
      </c>
    </row>
    <row r="403" spans="1:13" x14ac:dyDescent="0.25">
      <c r="A403" s="70">
        <v>1897</v>
      </c>
      <c r="B403" s="70" t="s">
        <v>229</v>
      </c>
      <c r="C403" s="70">
        <v>0</v>
      </c>
      <c r="D403" s="70" t="s">
        <v>1337</v>
      </c>
      <c r="E403" s="70">
        <v>4</v>
      </c>
      <c r="F403" s="70"/>
      <c r="G403" s="70">
        <v>355.89</v>
      </c>
      <c r="H403" s="70">
        <v>-7.19</v>
      </c>
      <c r="I403" s="70">
        <v>5.89</v>
      </c>
      <c r="J403" s="70">
        <v>-0.27</v>
      </c>
      <c r="K403" s="70">
        <v>5.29</v>
      </c>
      <c r="L403" s="70">
        <v>3.16</v>
      </c>
      <c r="M403" s="68">
        <f t="shared" si="6"/>
        <v>-355.89</v>
      </c>
    </row>
    <row r="404" spans="1:13" x14ac:dyDescent="0.25">
      <c r="A404" s="70">
        <v>2311</v>
      </c>
      <c r="B404" s="70" t="s">
        <v>229</v>
      </c>
      <c r="C404" s="70">
        <v>0</v>
      </c>
      <c r="D404" s="70" t="s">
        <v>1769</v>
      </c>
      <c r="E404" s="70">
        <v>4</v>
      </c>
      <c r="F404" s="70"/>
      <c r="G404" s="70">
        <v>355.49</v>
      </c>
      <c r="H404" s="70">
        <v>7.21</v>
      </c>
      <c r="I404" s="70">
        <v>5.86</v>
      </c>
      <c r="J404" s="70">
        <v>0.27</v>
      </c>
      <c r="K404" s="70">
        <v>5.28</v>
      </c>
      <c r="L404" s="70">
        <v>-3.16</v>
      </c>
      <c r="M404" s="68">
        <f t="shared" si="6"/>
        <v>-355.49</v>
      </c>
    </row>
    <row r="405" spans="1:13" x14ac:dyDescent="0.25">
      <c r="A405" s="70">
        <v>2361</v>
      </c>
      <c r="B405" s="70" t="s">
        <v>229</v>
      </c>
      <c r="C405" s="70">
        <v>0</v>
      </c>
      <c r="D405" s="70" t="s">
        <v>1807</v>
      </c>
      <c r="E405" s="70">
        <v>4</v>
      </c>
      <c r="F405" s="70"/>
      <c r="G405" s="70">
        <v>-674.99</v>
      </c>
      <c r="H405" s="70">
        <v>-11.33</v>
      </c>
      <c r="I405" s="70">
        <v>5.77</v>
      </c>
      <c r="J405" s="70">
        <v>0.31</v>
      </c>
      <c r="K405" s="70">
        <v>-10.37</v>
      </c>
      <c r="L405" s="70">
        <v>-5.38</v>
      </c>
      <c r="M405" s="68">
        <f t="shared" si="6"/>
        <v>674.99</v>
      </c>
    </row>
    <row r="406" spans="1:13" x14ac:dyDescent="0.25">
      <c r="A406" s="70">
        <v>2073</v>
      </c>
      <c r="B406" s="70" t="s">
        <v>229</v>
      </c>
      <c r="C406" s="70">
        <v>0</v>
      </c>
      <c r="D406" s="70" t="s">
        <v>1494</v>
      </c>
      <c r="E406" s="70">
        <v>0</v>
      </c>
      <c r="F406" s="70"/>
      <c r="G406" s="70">
        <v>258.37</v>
      </c>
      <c r="H406" s="70">
        <v>-5.84</v>
      </c>
      <c r="I406" s="70">
        <v>5.74</v>
      </c>
      <c r="J406" s="70">
        <v>0.2</v>
      </c>
      <c r="K406" s="70">
        <v>17.22</v>
      </c>
      <c r="L406" s="70">
        <v>-2.56</v>
      </c>
      <c r="M406" s="68">
        <f t="shared" si="6"/>
        <v>-258.37</v>
      </c>
    </row>
    <row r="407" spans="1:13" x14ac:dyDescent="0.25">
      <c r="A407" s="70">
        <v>2024</v>
      </c>
      <c r="B407" s="70" t="s">
        <v>229</v>
      </c>
      <c r="C407" s="70">
        <v>0</v>
      </c>
      <c r="D407" s="70" t="s">
        <v>1458</v>
      </c>
      <c r="E407" s="70">
        <v>0</v>
      </c>
      <c r="F407" s="70"/>
      <c r="G407" s="70">
        <v>-749.68</v>
      </c>
      <c r="H407" s="70">
        <v>10.55</v>
      </c>
      <c r="I407" s="70">
        <v>5.72</v>
      </c>
      <c r="J407" s="70">
        <v>0.3</v>
      </c>
      <c r="K407" s="70">
        <v>-6.17</v>
      </c>
      <c r="L407" s="70">
        <v>-5.17</v>
      </c>
      <c r="M407" s="68">
        <f t="shared" si="6"/>
        <v>749.68</v>
      </c>
    </row>
    <row r="408" spans="1:13" x14ac:dyDescent="0.25">
      <c r="A408" s="70">
        <v>2211</v>
      </c>
      <c r="B408" s="70" t="s">
        <v>229</v>
      </c>
      <c r="C408" s="70">
        <v>0</v>
      </c>
      <c r="D408" s="70" t="s">
        <v>1638</v>
      </c>
      <c r="E408" s="70">
        <v>0</v>
      </c>
      <c r="F408" s="70"/>
      <c r="G408" s="70">
        <v>258.68</v>
      </c>
      <c r="H408" s="70">
        <v>-5.85</v>
      </c>
      <c r="I408" s="70">
        <v>5.71</v>
      </c>
      <c r="J408" s="70">
        <v>0.2</v>
      </c>
      <c r="K408" s="70">
        <v>17.21</v>
      </c>
      <c r="L408" s="70">
        <v>-2.57</v>
      </c>
      <c r="M408" s="68">
        <f t="shared" si="6"/>
        <v>-258.68</v>
      </c>
    </row>
    <row r="409" spans="1:13" x14ac:dyDescent="0.25">
      <c r="A409" s="70">
        <v>2507</v>
      </c>
      <c r="B409" s="70" t="s">
        <v>229</v>
      </c>
      <c r="C409" s="70">
        <v>0</v>
      </c>
      <c r="D409" s="70" t="s">
        <v>1962</v>
      </c>
      <c r="E409" s="70">
        <v>0</v>
      </c>
      <c r="F409" s="70"/>
      <c r="G409" s="70">
        <v>-392.51</v>
      </c>
      <c r="H409" s="70">
        <v>-2.5299999999999998</v>
      </c>
      <c r="I409" s="70">
        <v>5.71</v>
      </c>
      <c r="J409" s="70">
        <v>0.1</v>
      </c>
      <c r="K409" s="70">
        <v>-4.68</v>
      </c>
      <c r="L409" s="70">
        <v>-1.24</v>
      </c>
      <c r="M409" s="68">
        <f t="shared" si="6"/>
        <v>392.51</v>
      </c>
    </row>
    <row r="410" spans="1:13" x14ac:dyDescent="0.25">
      <c r="A410" s="70">
        <v>2281</v>
      </c>
      <c r="B410" s="70" t="s">
        <v>229</v>
      </c>
      <c r="C410" s="70">
        <v>0</v>
      </c>
      <c r="D410" s="70" t="s">
        <v>1712</v>
      </c>
      <c r="E410" s="70">
        <v>0</v>
      </c>
      <c r="F410" s="70"/>
      <c r="G410" s="70">
        <v>315.08999999999997</v>
      </c>
      <c r="H410" s="70">
        <v>-6.74</v>
      </c>
      <c r="I410" s="70">
        <v>5.7</v>
      </c>
      <c r="J410" s="70">
        <v>0.23</v>
      </c>
      <c r="K410" s="70">
        <v>10.11</v>
      </c>
      <c r="L410" s="70">
        <v>-2.97</v>
      </c>
      <c r="M410" s="68">
        <f t="shared" si="6"/>
        <v>-315.08999999999997</v>
      </c>
    </row>
    <row r="411" spans="1:13" x14ac:dyDescent="0.25">
      <c r="A411" s="70">
        <v>2107</v>
      </c>
      <c r="B411" s="70" t="s">
        <v>229</v>
      </c>
      <c r="C411" s="70">
        <v>0</v>
      </c>
      <c r="D411" s="70" t="s">
        <v>1558</v>
      </c>
      <c r="E411" s="70">
        <v>0</v>
      </c>
      <c r="F411" s="70"/>
      <c r="G411" s="70">
        <v>152.28</v>
      </c>
      <c r="H411" s="70">
        <v>4.5999999999999996</v>
      </c>
      <c r="I411" s="70">
        <v>5.66</v>
      </c>
      <c r="J411" s="70">
        <v>0.17</v>
      </c>
      <c r="K411" s="70">
        <v>17.86</v>
      </c>
      <c r="L411" s="70">
        <v>2.68</v>
      </c>
      <c r="M411" s="68">
        <f t="shared" si="6"/>
        <v>-152.28</v>
      </c>
    </row>
    <row r="412" spans="1:13" x14ac:dyDescent="0.25">
      <c r="A412" s="70">
        <v>2144</v>
      </c>
      <c r="B412" s="70" t="s">
        <v>229</v>
      </c>
      <c r="C412" s="70">
        <v>0</v>
      </c>
      <c r="D412" s="70" t="s">
        <v>1571</v>
      </c>
      <c r="E412" s="70">
        <v>4</v>
      </c>
      <c r="F412" s="70"/>
      <c r="G412" s="70">
        <v>352.47</v>
      </c>
      <c r="H412" s="70">
        <v>7.16</v>
      </c>
      <c r="I412" s="70">
        <v>5.63</v>
      </c>
      <c r="J412" s="70">
        <v>0.27</v>
      </c>
      <c r="K412" s="70">
        <v>1.97</v>
      </c>
      <c r="L412" s="70">
        <v>-4.0199999999999996</v>
      </c>
      <c r="M412" s="68">
        <f t="shared" si="6"/>
        <v>-352.47</v>
      </c>
    </row>
    <row r="413" spans="1:13" x14ac:dyDescent="0.25">
      <c r="A413" s="70">
        <v>2005</v>
      </c>
      <c r="B413" s="70" t="s">
        <v>229</v>
      </c>
      <c r="C413" s="70">
        <v>0</v>
      </c>
      <c r="D413" s="70" t="s">
        <v>1424</v>
      </c>
      <c r="E413" s="70">
        <v>0</v>
      </c>
      <c r="F413" s="70"/>
      <c r="G413" s="70">
        <v>314.76</v>
      </c>
      <c r="H413" s="70">
        <v>-6.71</v>
      </c>
      <c r="I413" s="70">
        <v>5.6</v>
      </c>
      <c r="J413" s="70">
        <v>0.23</v>
      </c>
      <c r="K413" s="70">
        <v>10.119999999999999</v>
      </c>
      <c r="L413" s="70">
        <v>-2.96</v>
      </c>
      <c r="M413" s="68">
        <f t="shared" si="6"/>
        <v>-314.76</v>
      </c>
    </row>
    <row r="414" spans="1:13" x14ac:dyDescent="0.25">
      <c r="A414" s="70">
        <v>1947</v>
      </c>
      <c r="B414" s="70" t="s">
        <v>229</v>
      </c>
      <c r="C414" s="70">
        <v>0</v>
      </c>
      <c r="D414" s="70" t="s">
        <v>1375</v>
      </c>
      <c r="E414" s="70">
        <v>4</v>
      </c>
      <c r="F414" s="70"/>
      <c r="G414" s="70">
        <v>-674.64</v>
      </c>
      <c r="H414" s="70">
        <v>-11.36</v>
      </c>
      <c r="I414" s="70">
        <v>5.58</v>
      </c>
      <c r="J414" s="70">
        <v>0.3</v>
      </c>
      <c r="K414" s="70">
        <v>-10.31</v>
      </c>
      <c r="L414" s="70">
        <v>5.38</v>
      </c>
      <c r="M414" s="68">
        <f t="shared" si="6"/>
        <v>674.64</v>
      </c>
    </row>
    <row r="415" spans="1:13" x14ac:dyDescent="0.25">
      <c r="A415" s="70">
        <v>2164</v>
      </c>
      <c r="B415" s="70" t="s">
        <v>229</v>
      </c>
      <c r="C415" s="70">
        <v>0</v>
      </c>
      <c r="D415" s="70" t="s">
        <v>1607</v>
      </c>
      <c r="E415" s="70">
        <v>4</v>
      </c>
      <c r="F415" s="70"/>
      <c r="G415" s="70">
        <v>-552.09</v>
      </c>
      <c r="H415" s="70">
        <v>-10.86</v>
      </c>
      <c r="I415" s="70">
        <v>5.58</v>
      </c>
      <c r="J415" s="70">
        <v>0.33</v>
      </c>
      <c r="K415" s="70">
        <v>-12.96</v>
      </c>
      <c r="L415" s="70">
        <v>5.71</v>
      </c>
      <c r="M415" s="68">
        <f t="shared" si="6"/>
        <v>552.09</v>
      </c>
    </row>
    <row r="416" spans="1:13" x14ac:dyDescent="0.25">
      <c r="A416" s="70">
        <v>2162</v>
      </c>
      <c r="B416" s="70" t="s">
        <v>229</v>
      </c>
      <c r="C416" s="70">
        <v>0</v>
      </c>
      <c r="D416" s="70" t="s">
        <v>1602</v>
      </c>
      <c r="E416" s="70">
        <v>0</v>
      </c>
      <c r="F416" s="70"/>
      <c r="G416" s="70">
        <v>-749.25</v>
      </c>
      <c r="H416" s="70">
        <v>-10.56</v>
      </c>
      <c r="I416" s="70">
        <v>5.54</v>
      </c>
      <c r="J416" s="70">
        <v>0.3</v>
      </c>
      <c r="K416" s="70">
        <v>-6.17</v>
      </c>
      <c r="L416" s="70">
        <v>-5.18</v>
      </c>
      <c r="M416" s="68">
        <f t="shared" si="6"/>
        <v>749.25</v>
      </c>
    </row>
    <row r="417" spans="1:13" x14ac:dyDescent="0.25">
      <c r="A417" s="70">
        <v>2026</v>
      </c>
      <c r="B417" s="70" t="s">
        <v>229</v>
      </c>
      <c r="C417" s="70">
        <v>0</v>
      </c>
      <c r="D417" s="70" t="s">
        <v>1463</v>
      </c>
      <c r="E417" s="70">
        <v>4</v>
      </c>
      <c r="F417" s="70"/>
      <c r="G417" s="70">
        <v>-552.32000000000005</v>
      </c>
      <c r="H417" s="70">
        <v>-10.84</v>
      </c>
      <c r="I417" s="70">
        <v>5.52</v>
      </c>
      <c r="J417" s="70">
        <v>0.33</v>
      </c>
      <c r="K417" s="70">
        <v>-12.94</v>
      </c>
      <c r="L417" s="70">
        <v>5.7</v>
      </c>
      <c r="M417" s="68">
        <f t="shared" si="6"/>
        <v>552.32000000000005</v>
      </c>
    </row>
    <row r="418" spans="1:13" x14ac:dyDescent="0.25">
      <c r="A418" s="70">
        <v>2142</v>
      </c>
      <c r="B418" s="70" t="s">
        <v>229</v>
      </c>
      <c r="C418" s="70">
        <v>0</v>
      </c>
      <c r="D418" s="70" t="s">
        <v>1566</v>
      </c>
      <c r="E418" s="70">
        <v>0</v>
      </c>
      <c r="F418" s="70"/>
      <c r="G418" s="70">
        <v>256.8</v>
      </c>
      <c r="H418" s="70">
        <v>-5.85</v>
      </c>
      <c r="I418" s="70">
        <v>5.49</v>
      </c>
      <c r="J418" s="70">
        <v>0.2</v>
      </c>
      <c r="K418" s="70">
        <v>17.100000000000001</v>
      </c>
      <c r="L418" s="70">
        <v>-2.56</v>
      </c>
      <c r="M418" s="68">
        <f t="shared" si="6"/>
        <v>-256.8</v>
      </c>
    </row>
    <row r="419" spans="1:13" x14ac:dyDescent="0.25">
      <c r="A419" s="70">
        <v>2103</v>
      </c>
      <c r="B419" s="70" t="s">
        <v>229</v>
      </c>
      <c r="C419" s="70">
        <v>0</v>
      </c>
      <c r="D419" s="70" t="s">
        <v>1551</v>
      </c>
      <c r="E419" s="70">
        <v>4</v>
      </c>
      <c r="F419" s="70"/>
      <c r="G419" s="70">
        <v>384.95</v>
      </c>
      <c r="H419" s="70">
        <v>-7.33</v>
      </c>
      <c r="I419" s="70">
        <v>5.45</v>
      </c>
      <c r="J419" s="70">
        <v>-0.33</v>
      </c>
      <c r="K419" s="70">
        <v>1.89</v>
      </c>
      <c r="L419" s="70">
        <v>3.22</v>
      </c>
      <c r="M419" s="68">
        <f t="shared" si="6"/>
        <v>-384.95</v>
      </c>
    </row>
    <row r="420" spans="1:13" x14ac:dyDescent="0.25">
      <c r="A420" s="70">
        <v>3</v>
      </c>
      <c r="B420" s="70" t="s">
        <v>229</v>
      </c>
      <c r="C420" s="70">
        <v>0</v>
      </c>
      <c r="D420" s="70" t="s">
        <v>1098</v>
      </c>
      <c r="E420" s="70">
        <v>0</v>
      </c>
      <c r="F420" s="70"/>
      <c r="G420" s="70">
        <v>-393.8</v>
      </c>
      <c r="H420" s="70">
        <v>2.5299999999999998</v>
      </c>
      <c r="I420" s="70">
        <v>5.44</v>
      </c>
      <c r="J420" s="70">
        <v>0.1</v>
      </c>
      <c r="K420" s="70">
        <v>-4.74</v>
      </c>
      <c r="L420" s="70">
        <v>1.24</v>
      </c>
      <c r="M420" s="68">
        <f t="shared" si="6"/>
        <v>393.8</v>
      </c>
    </row>
    <row r="421" spans="1:13" x14ac:dyDescent="0.25">
      <c r="A421" s="70">
        <v>2568</v>
      </c>
      <c r="B421" s="70" t="s">
        <v>229</v>
      </c>
      <c r="C421" s="70">
        <v>0</v>
      </c>
      <c r="D421" s="70" t="s">
        <v>2023</v>
      </c>
      <c r="E421" s="70">
        <v>4</v>
      </c>
      <c r="F421" s="70"/>
      <c r="G421" s="70">
        <v>-346.72</v>
      </c>
      <c r="H421" s="70">
        <v>2.71</v>
      </c>
      <c r="I421" s="70">
        <v>5.38</v>
      </c>
      <c r="J421" s="70">
        <v>0.11</v>
      </c>
      <c r="K421" s="70">
        <v>-6.41</v>
      </c>
      <c r="L421" s="70">
        <v>-1.31</v>
      </c>
      <c r="M421" s="68">
        <f t="shared" si="6"/>
        <v>346.72</v>
      </c>
    </row>
    <row r="422" spans="1:13" x14ac:dyDescent="0.25">
      <c r="A422" s="70">
        <v>2152</v>
      </c>
      <c r="B422" s="70" t="s">
        <v>229</v>
      </c>
      <c r="C422" s="70">
        <v>0</v>
      </c>
      <c r="D422" s="70" t="s">
        <v>1587</v>
      </c>
      <c r="E422" s="70">
        <v>4</v>
      </c>
      <c r="F422" s="70"/>
      <c r="G422" s="70">
        <v>-411.36</v>
      </c>
      <c r="H422" s="70">
        <v>-9.83</v>
      </c>
      <c r="I422" s="70">
        <v>5.37</v>
      </c>
      <c r="J422" s="70">
        <v>-0.4</v>
      </c>
      <c r="K422" s="70">
        <v>-12.79</v>
      </c>
      <c r="L422" s="70">
        <v>4.58</v>
      </c>
      <c r="M422" s="68">
        <f t="shared" si="6"/>
        <v>411.36</v>
      </c>
    </row>
    <row r="423" spans="1:13" x14ac:dyDescent="0.25">
      <c r="A423" s="70">
        <v>2521</v>
      </c>
      <c r="B423" s="70" t="s">
        <v>229</v>
      </c>
      <c r="C423" s="70">
        <v>0</v>
      </c>
      <c r="D423" s="70" t="s">
        <v>1990</v>
      </c>
      <c r="E423" s="70">
        <v>0</v>
      </c>
      <c r="F423" s="70"/>
      <c r="G423" s="70">
        <v>81.61</v>
      </c>
      <c r="H423" s="70">
        <v>1.1000000000000001</v>
      </c>
      <c r="I423" s="70">
        <v>5.33</v>
      </c>
      <c r="J423" s="70">
        <v>0.06</v>
      </c>
      <c r="K423" s="70">
        <v>9.3699999999999992</v>
      </c>
      <c r="L423" s="70">
        <v>0.59</v>
      </c>
      <c r="M423" s="68">
        <f t="shared" si="6"/>
        <v>-81.61</v>
      </c>
    </row>
    <row r="424" spans="1:13" x14ac:dyDescent="0.25">
      <c r="A424" s="70">
        <v>2008</v>
      </c>
      <c r="B424" s="70" t="s">
        <v>229</v>
      </c>
      <c r="C424" s="70">
        <v>0</v>
      </c>
      <c r="D424" s="70" t="s">
        <v>1431</v>
      </c>
      <c r="E424" s="70">
        <v>4</v>
      </c>
      <c r="F424" s="70"/>
      <c r="G424" s="70">
        <v>419.04</v>
      </c>
      <c r="H424" s="70">
        <v>-7.34</v>
      </c>
      <c r="I424" s="70">
        <v>5.3</v>
      </c>
      <c r="J424" s="70">
        <v>-0.42</v>
      </c>
      <c r="K424" s="70">
        <v>8.7799999999999994</v>
      </c>
      <c r="L424" s="70">
        <v>3.99</v>
      </c>
      <c r="M424" s="68">
        <f t="shared" si="6"/>
        <v>-419.04</v>
      </c>
    </row>
    <row r="425" spans="1:13" x14ac:dyDescent="0.25">
      <c r="A425" s="70">
        <v>66</v>
      </c>
      <c r="B425" s="70" t="s">
        <v>229</v>
      </c>
      <c r="C425" s="70">
        <v>0</v>
      </c>
      <c r="D425" s="70" t="s">
        <v>1159</v>
      </c>
      <c r="E425" s="70">
        <v>4</v>
      </c>
      <c r="F425" s="70"/>
      <c r="G425" s="70">
        <v>-346.25</v>
      </c>
      <c r="H425" s="70">
        <v>-2.73</v>
      </c>
      <c r="I425" s="70">
        <v>5.2</v>
      </c>
      <c r="J425" s="70">
        <v>0.11</v>
      </c>
      <c r="K425" s="70">
        <v>-6.32</v>
      </c>
      <c r="L425" s="70">
        <v>1.32</v>
      </c>
      <c r="M425" s="68">
        <f t="shared" si="6"/>
        <v>346.25</v>
      </c>
    </row>
    <row r="426" spans="1:13" x14ac:dyDescent="0.25">
      <c r="A426" s="70">
        <v>2284</v>
      </c>
      <c r="B426" s="70" t="s">
        <v>229</v>
      </c>
      <c r="C426" s="70">
        <v>0</v>
      </c>
      <c r="D426" s="70" t="s">
        <v>1719</v>
      </c>
      <c r="E426" s="70">
        <v>4</v>
      </c>
      <c r="F426" s="70"/>
      <c r="G426" s="70">
        <v>419.57</v>
      </c>
      <c r="H426" s="70">
        <v>-7.37</v>
      </c>
      <c r="I426" s="70">
        <v>5.19</v>
      </c>
      <c r="J426" s="70">
        <v>-0.42</v>
      </c>
      <c r="K426" s="70">
        <v>8.81</v>
      </c>
      <c r="L426" s="70">
        <v>4.01</v>
      </c>
      <c r="M426" s="68">
        <f t="shared" si="6"/>
        <v>-419.57</v>
      </c>
    </row>
    <row r="427" spans="1:13" x14ac:dyDescent="0.25">
      <c r="A427" s="70">
        <v>2508</v>
      </c>
      <c r="B427" s="70" t="s">
        <v>229</v>
      </c>
      <c r="C427" s="70">
        <v>0</v>
      </c>
      <c r="D427" s="70" t="s">
        <v>1964</v>
      </c>
      <c r="E427" s="70">
        <v>0</v>
      </c>
      <c r="F427" s="70"/>
      <c r="G427" s="70">
        <v>-347.88</v>
      </c>
      <c r="H427" s="70">
        <v>-2.72</v>
      </c>
      <c r="I427" s="70">
        <v>5.14</v>
      </c>
      <c r="J427" s="70">
        <v>0.11</v>
      </c>
      <c r="K427" s="70">
        <v>-6.26</v>
      </c>
      <c r="L427" s="70">
        <v>-1.32</v>
      </c>
      <c r="M427" s="68">
        <f t="shared" si="6"/>
        <v>347.88</v>
      </c>
    </row>
    <row r="428" spans="1:13" x14ac:dyDescent="0.25">
      <c r="A428" s="70">
        <v>14</v>
      </c>
      <c r="B428" s="70" t="s">
        <v>229</v>
      </c>
      <c r="C428" s="70">
        <v>0</v>
      </c>
      <c r="D428" s="70" t="s">
        <v>1121</v>
      </c>
      <c r="E428" s="70">
        <v>4</v>
      </c>
      <c r="F428" s="70"/>
      <c r="G428" s="70">
        <v>180.51</v>
      </c>
      <c r="H428" s="70">
        <v>-1.73</v>
      </c>
      <c r="I428" s="70">
        <v>5.13</v>
      </c>
      <c r="J428" s="70">
        <v>-0.09</v>
      </c>
      <c r="K428" s="70">
        <v>3.69</v>
      </c>
      <c r="L428" s="70">
        <v>0.8</v>
      </c>
      <c r="M428" s="68">
        <f t="shared" si="6"/>
        <v>-180.51</v>
      </c>
    </row>
    <row r="429" spans="1:13" x14ac:dyDescent="0.25">
      <c r="A429" s="70">
        <v>2518</v>
      </c>
      <c r="B429" s="70" t="s">
        <v>229</v>
      </c>
      <c r="C429" s="70">
        <v>0</v>
      </c>
      <c r="D429" s="70" t="s">
        <v>1985</v>
      </c>
      <c r="E429" s="70">
        <v>4</v>
      </c>
      <c r="F429" s="70"/>
      <c r="G429" s="70">
        <v>180.23</v>
      </c>
      <c r="H429" s="70">
        <v>1.73</v>
      </c>
      <c r="I429" s="70">
        <v>5.1100000000000003</v>
      </c>
      <c r="J429" s="70">
        <v>0.09</v>
      </c>
      <c r="K429" s="70">
        <v>3.69</v>
      </c>
      <c r="L429" s="70">
        <v>-0.8</v>
      </c>
      <c r="M429" s="68">
        <f t="shared" si="6"/>
        <v>-180.23</v>
      </c>
    </row>
    <row r="430" spans="1:13" x14ac:dyDescent="0.25">
      <c r="A430" s="70">
        <v>2149</v>
      </c>
      <c r="B430" s="70" t="s">
        <v>229</v>
      </c>
      <c r="C430" s="70">
        <v>0</v>
      </c>
      <c r="D430" s="70" t="s">
        <v>1580</v>
      </c>
      <c r="E430" s="70">
        <v>0</v>
      </c>
      <c r="F430" s="70"/>
      <c r="G430" s="70">
        <v>173.72</v>
      </c>
      <c r="H430" s="70">
        <v>-7.65</v>
      </c>
      <c r="I430" s="70">
        <v>5.0999999999999996</v>
      </c>
      <c r="J430" s="70">
        <v>-0.6</v>
      </c>
      <c r="K430" s="70">
        <v>7.19</v>
      </c>
      <c r="L430" s="70">
        <v>-3.81</v>
      </c>
      <c r="M430" s="68">
        <f t="shared" si="6"/>
        <v>-173.72</v>
      </c>
    </row>
    <row r="431" spans="1:13" x14ac:dyDescent="0.25">
      <c r="A431" s="70">
        <v>2557</v>
      </c>
      <c r="B431" s="70" t="s">
        <v>229</v>
      </c>
      <c r="C431" s="70">
        <v>0</v>
      </c>
      <c r="D431" s="70" t="s">
        <v>2000</v>
      </c>
      <c r="E431" s="70">
        <v>0</v>
      </c>
      <c r="F431" s="70"/>
      <c r="G431" s="70">
        <v>161.08000000000001</v>
      </c>
      <c r="H431" s="70">
        <v>-1.62</v>
      </c>
      <c r="I431" s="70">
        <v>5.09</v>
      </c>
      <c r="J431" s="70">
        <v>0.08</v>
      </c>
      <c r="K431" s="70">
        <v>5.82</v>
      </c>
      <c r="L431" s="70">
        <v>-0.75</v>
      </c>
      <c r="M431" s="68">
        <f t="shared" si="6"/>
        <v>-161.08000000000001</v>
      </c>
    </row>
    <row r="432" spans="1:13" x14ac:dyDescent="0.25">
      <c r="A432" s="70">
        <v>17</v>
      </c>
      <c r="B432" s="70" t="s">
        <v>229</v>
      </c>
      <c r="C432" s="70">
        <v>0</v>
      </c>
      <c r="D432" s="70" t="s">
        <v>1126</v>
      </c>
      <c r="E432" s="70">
        <v>0</v>
      </c>
      <c r="F432" s="70"/>
      <c r="G432" s="70">
        <v>82.13</v>
      </c>
      <c r="H432" s="70">
        <v>1.1000000000000001</v>
      </c>
      <c r="I432" s="70">
        <v>5.08</v>
      </c>
      <c r="J432" s="70">
        <v>0.06</v>
      </c>
      <c r="K432" s="70">
        <v>9.4</v>
      </c>
      <c r="L432" s="70">
        <v>0.59</v>
      </c>
      <c r="M432" s="68">
        <f t="shared" si="6"/>
        <v>-82.13</v>
      </c>
    </row>
    <row r="433" spans="1:13" x14ac:dyDescent="0.25">
      <c r="A433" s="70">
        <v>2031</v>
      </c>
      <c r="B433" s="70" t="s">
        <v>229</v>
      </c>
      <c r="C433" s="70">
        <v>0</v>
      </c>
      <c r="D433" s="70" t="s">
        <v>1473</v>
      </c>
      <c r="E433" s="70">
        <v>4</v>
      </c>
      <c r="F433" s="70"/>
      <c r="G433" s="70">
        <v>321.60000000000002</v>
      </c>
      <c r="H433" s="70">
        <v>-7.38</v>
      </c>
      <c r="I433" s="70">
        <v>5.0599999999999996</v>
      </c>
      <c r="J433" s="70">
        <v>-0.55000000000000004</v>
      </c>
      <c r="K433" s="70">
        <v>9.4600000000000009</v>
      </c>
      <c r="L433" s="70">
        <v>3.56</v>
      </c>
      <c r="M433" s="68">
        <f t="shared" si="6"/>
        <v>-321.60000000000002</v>
      </c>
    </row>
    <row r="434" spans="1:13" x14ac:dyDescent="0.25">
      <c r="A434" s="70">
        <v>55</v>
      </c>
      <c r="B434" s="70" t="s">
        <v>229</v>
      </c>
      <c r="C434" s="70">
        <v>0</v>
      </c>
      <c r="D434" s="70" t="s">
        <v>1136</v>
      </c>
      <c r="E434" s="70">
        <v>0</v>
      </c>
      <c r="F434" s="70"/>
      <c r="G434" s="70">
        <v>160.9</v>
      </c>
      <c r="H434" s="70">
        <v>-1.61</v>
      </c>
      <c r="I434" s="70">
        <v>5.0199999999999996</v>
      </c>
      <c r="J434" s="70">
        <v>0.08</v>
      </c>
      <c r="K434" s="70">
        <v>5.75</v>
      </c>
      <c r="L434" s="70">
        <v>-0.75</v>
      </c>
      <c r="M434" s="68">
        <f t="shared" si="6"/>
        <v>-160.9</v>
      </c>
    </row>
    <row r="435" spans="1:13" x14ac:dyDescent="0.25">
      <c r="A435" s="70">
        <v>2007</v>
      </c>
      <c r="B435" s="70" t="s">
        <v>229</v>
      </c>
      <c r="C435" s="70">
        <v>0</v>
      </c>
      <c r="D435" s="70" t="s">
        <v>1429</v>
      </c>
      <c r="E435" s="70">
        <v>4</v>
      </c>
      <c r="F435" s="70"/>
      <c r="G435" s="70">
        <v>391.86</v>
      </c>
      <c r="H435" s="70">
        <v>-7.3</v>
      </c>
      <c r="I435" s="70">
        <v>5.0199999999999996</v>
      </c>
      <c r="J435" s="70">
        <v>-0.33</v>
      </c>
      <c r="K435" s="70">
        <v>5.32</v>
      </c>
      <c r="L435" s="70">
        <v>4.05</v>
      </c>
      <c r="M435" s="68">
        <f t="shared" si="6"/>
        <v>-391.86</v>
      </c>
    </row>
    <row r="436" spans="1:13" x14ac:dyDescent="0.25">
      <c r="A436" s="70">
        <v>2027</v>
      </c>
      <c r="B436" s="70" t="s">
        <v>229</v>
      </c>
      <c r="C436" s="70">
        <v>0</v>
      </c>
      <c r="D436" s="70" t="s">
        <v>1465</v>
      </c>
      <c r="E436" s="70">
        <v>4</v>
      </c>
      <c r="F436" s="70"/>
      <c r="G436" s="70">
        <v>-415.26</v>
      </c>
      <c r="H436" s="70">
        <v>-9.83</v>
      </c>
      <c r="I436" s="70">
        <v>4.97</v>
      </c>
      <c r="J436" s="70">
        <v>-0.41</v>
      </c>
      <c r="K436" s="70">
        <v>-12.59</v>
      </c>
      <c r="L436" s="70">
        <v>5.21</v>
      </c>
      <c r="M436" s="68">
        <f t="shared" si="6"/>
        <v>415.26</v>
      </c>
    </row>
    <row r="437" spans="1:13" x14ac:dyDescent="0.25">
      <c r="A437" s="70">
        <v>2169</v>
      </c>
      <c r="B437" s="70" t="s">
        <v>229</v>
      </c>
      <c r="C437" s="70">
        <v>0</v>
      </c>
      <c r="D437" s="70" t="s">
        <v>1617</v>
      </c>
      <c r="E437" s="70">
        <v>4</v>
      </c>
      <c r="F437" s="70"/>
      <c r="G437" s="70">
        <v>321.04000000000002</v>
      </c>
      <c r="H437" s="70">
        <v>-7.38</v>
      </c>
      <c r="I437" s="70">
        <v>4.97</v>
      </c>
      <c r="J437" s="70">
        <v>-0.55000000000000004</v>
      </c>
      <c r="K437" s="70">
        <v>9.48</v>
      </c>
      <c r="L437" s="70">
        <v>3.56</v>
      </c>
      <c r="M437" s="68">
        <f t="shared" si="6"/>
        <v>-321.04000000000002</v>
      </c>
    </row>
    <row r="438" spans="1:13" x14ac:dyDescent="0.25">
      <c r="A438" s="70">
        <v>2093</v>
      </c>
      <c r="B438" s="70" t="s">
        <v>229</v>
      </c>
      <c r="C438" s="70">
        <v>0</v>
      </c>
      <c r="D438" s="70" t="s">
        <v>1530</v>
      </c>
      <c r="E438" s="70">
        <v>0</v>
      </c>
      <c r="F438" s="70"/>
      <c r="G438" s="70">
        <v>-742.03</v>
      </c>
      <c r="H438" s="70">
        <v>-10.56</v>
      </c>
      <c r="I438" s="70">
        <v>4.96</v>
      </c>
      <c r="J438" s="70">
        <v>0.3</v>
      </c>
      <c r="K438" s="70">
        <v>-5.76</v>
      </c>
      <c r="L438" s="70">
        <v>-5.17</v>
      </c>
      <c r="M438" s="68">
        <f t="shared" si="6"/>
        <v>742.03</v>
      </c>
    </row>
    <row r="439" spans="1:13" x14ac:dyDescent="0.25">
      <c r="A439" s="70">
        <v>2165</v>
      </c>
      <c r="B439" s="70" t="s">
        <v>229</v>
      </c>
      <c r="C439" s="70">
        <v>0</v>
      </c>
      <c r="D439" s="70" t="s">
        <v>1609</v>
      </c>
      <c r="E439" s="70">
        <v>4</v>
      </c>
      <c r="F439" s="70"/>
      <c r="G439" s="70">
        <v>-413.86</v>
      </c>
      <c r="H439" s="70">
        <v>-9.85</v>
      </c>
      <c r="I439" s="70">
        <v>4.96</v>
      </c>
      <c r="J439" s="70">
        <v>-0.41</v>
      </c>
      <c r="K439" s="70">
        <v>-12.69</v>
      </c>
      <c r="L439" s="70">
        <v>5.22</v>
      </c>
      <c r="M439" s="68">
        <f t="shared" si="6"/>
        <v>413.86</v>
      </c>
    </row>
    <row r="440" spans="1:13" x14ac:dyDescent="0.25">
      <c r="A440" s="70">
        <v>2556</v>
      </c>
      <c r="B440" s="70" t="s">
        <v>229</v>
      </c>
      <c r="C440" s="70">
        <v>0</v>
      </c>
      <c r="D440" s="70" t="s">
        <v>1998</v>
      </c>
      <c r="E440" s="70">
        <v>0</v>
      </c>
      <c r="F440" s="70"/>
      <c r="G440" s="70">
        <v>133.97</v>
      </c>
      <c r="H440" s="70">
        <v>-1.4</v>
      </c>
      <c r="I440" s="70">
        <v>4.96</v>
      </c>
      <c r="J440" s="70">
        <v>7.0000000000000007E-2</v>
      </c>
      <c r="K440" s="70">
        <v>8.86</v>
      </c>
      <c r="L440" s="70">
        <v>-0.65</v>
      </c>
      <c r="M440" s="68">
        <f t="shared" si="6"/>
        <v>-133.97</v>
      </c>
    </row>
    <row r="441" spans="1:13" x14ac:dyDescent="0.25">
      <c r="A441" s="70">
        <v>2283</v>
      </c>
      <c r="B441" s="70" t="s">
        <v>229</v>
      </c>
      <c r="C441" s="70">
        <v>0</v>
      </c>
      <c r="D441" s="70" t="s">
        <v>1717</v>
      </c>
      <c r="E441" s="70">
        <v>4</v>
      </c>
      <c r="F441" s="70"/>
      <c r="G441" s="70">
        <v>392.33</v>
      </c>
      <c r="H441" s="70">
        <v>-7.33</v>
      </c>
      <c r="I441" s="70">
        <v>4.95</v>
      </c>
      <c r="J441" s="70">
        <v>-0.34</v>
      </c>
      <c r="K441" s="70">
        <v>5.36</v>
      </c>
      <c r="L441" s="70">
        <v>4.07</v>
      </c>
      <c r="M441" s="68">
        <f t="shared" si="6"/>
        <v>-392.33</v>
      </c>
    </row>
    <row r="442" spans="1:13" x14ac:dyDescent="0.25">
      <c r="A442" s="70">
        <v>54</v>
      </c>
      <c r="B442" s="70" t="s">
        <v>229</v>
      </c>
      <c r="C442" s="70">
        <v>0</v>
      </c>
      <c r="D442" s="70" t="s">
        <v>1134</v>
      </c>
      <c r="E442" s="70">
        <v>0</v>
      </c>
      <c r="F442" s="70"/>
      <c r="G442" s="70">
        <v>133.82</v>
      </c>
      <c r="H442" s="70">
        <v>-1.4</v>
      </c>
      <c r="I442" s="70">
        <v>4.8099999999999996</v>
      </c>
      <c r="J442" s="70">
        <v>7.0000000000000007E-2</v>
      </c>
      <c r="K442" s="70">
        <v>8.89</v>
      </c>
      <c r="L442" s="70">
        <v>-0.65</v>
      </c>
      <c r="M442" s="68">
        <f t="shared" si="6"/>
        <v>-133.82</v>
      </c>
    </row>
    <row r="443" spans="1:13" x14ac:dyDescent="0.25">
      <c r="A443" s="70">
        <v>2074</v>
      </c>
      <c r="B443" s="70" t="s">
        <v>229</v>
      </c>
      <c r="C443" s="70">
        <v>0</v>
      </c>
      <c r="D443" s="70" t="s">
        <v>1496</v>
      </c>
      <c r="E443" s="70">
        <v>0</v>
      </c>
      <c r="F443" s="70"/>
      <c r="G443" s="70">
        <v>312.86</v>
      </c>
      <c r="H443" s="70">
        <v>-6.72</v>
      </c>
      <c r="I443" s="70">
        <v>4.75</v>
      </c>
      <c r="J443" s="70">
        <v>0.23</v>
      </c>
      <c r="K443" s="70">
        <v>10.06</v>
      </c>
      <c r="L443" s="70">
        <v>-2.96</v>
      </c>
      <c r="M443" s="68">
        <f t="shared" si="6"/>
        <v>-312.86</v>
      </c>
    </row>
    <row r="444" spans="1:13" x14ac:dyDescent="0.25">
      <c r="A444" s="70">
        <v>2212</v>
      </c>
      <c r="B444" s="70" t="s">
        <v>229</v>
      </c>
      <c r="C444" s="70">
        <v>0</v>
      </c>
      <c r="D444" s="70" t="s">
        <v>1640</v>
      </c>
      <c r="E444" s="70">
        <v>0</v>
      </c>
      <c r="F444" s="70"/>
      <c r="G444" s="70">
        <v>313.23</v>
      </c>
      <c r="H444" s="70">
        <v>-6.73</v>
      </c>
      <c r="I444" s="70">
        <v>4.7300000000000004</v>
      </c>
      <c r="J444" s="70">
        <v>0.23</v>
      </c>
      <c r="K444" s="70">
        <v>10.050000000000001</v>
      </c>
      <c r="L444" s="70">
        <v>-2.97</v>
      </c>
      <c r="M444" s="68">
        <f t="shared" si="6"/>
        <v>-313.23</v>
      </c>
    </row>
    <row r="445" spans="1:13" x14ac:dyDescent="0.25">
      <c r="A445" s="70">
        <v>2143</v>
      </c>
      <c r="B445" s="70" t="s">
        <v>229</v>
      </c>
      <c r="C445" s="70">
        <v>0</v>
      </c>
      <c r="D445" s="70" t="s">
        <v>1568</v>
      </c>
      <c r="E445" s="70">
        <v>0</v>
      </c>
      <c r="F445" s="70"/>
      <c r="G445" s="70">
        <v>311.39</v>
      </c>
      <c r="H445" s="70">
        <v>-6.73</v>
      </c>
      <c r="I445" s="70">
        <v>4.6100000000000003</v>
      </c>
      <c r="J445" s="70">
        <v>0.23</v>
      </c>
      <c r="K445" s="70">
        <v>9.99</v>
      </c>
      <c r="L445" s="70">
        <v>-2.96</v>
      </c>
      <c r="M445" s="68">
        <f t="shared" si="6"/>
        <v>-311.39</v>
      </c>
    </row>
    <row r="446" spans="1:13" x14ac:dyDescent="0.25">
      <c r="A446" s="70">
        <v>2095</v>
      </c>
      <c r="B446" s="70" t="s">
        <v>229</v>
      </c>
      <c r="C446" s="70">
        <v>0</v>
      </c>
      <c r="D446" s="70" t="s">
        <v>1535</v>
      </c>
      <c r="E446" s="70">
        <v>4</v>
      </c>
      <c r="F446" s="70"/>
      <c r="G446" s="70">
        <v>-547.02</v>
      </c>
      <c r="H446" s="70">
        <v>-10.85</v>
      </c>
      <c r="I446" s="70">
        <v>4.33</v>
      </c>
      <c r="J446" s="70">
        <v>0.33</v>
      </c>
      <c r="K446" s="70">
        <v>-12.8</v>
      </c>
      <c r="L446" s="70">
        <v>5.7</v>
      </c>
      <c r="M446" s="68">
        <f t="shared" si="6"/>
        <v>547.02</v>
      </c>
    </row>
    <row r="447" spans="1:13" x14ac:dyDescent="0.25">
      <c r="A447" s="70">
        <v>1966</v>
      </c>
      <c r="B447" s="70" t="s">
        <v>229</v>
      </c>
      <c r="C447" s="70">
        <v>0</v>
      </c>
      <c r="D447" s="70" t="s">
        <v>1409</v>
      </c>
      <c r="E447" s="70">
        <v>4</v>
      </c>
      <c r="F447" s="70"/>
      <c r="G447" s="70">
        <v>354.09</v>
      </c>
      <c r="H447" s="70">
        <v>-7.19</v>
      </c>
      <c r="I447" s="70">
        <v>4.3</v>
      </c>
      <c r="J447" s="70">
        <v>-0.27</v>
      </c>
      <c r="K447" s="70">
        <v>4.54</v>
      </c>
      <c r="L447" s="70">
        <v>3.16</v>
      </c>
      <c r="M447" s="68">
        <f t="shared" si="6"/>
        <v>-354.09</v>
      </c>
    </row>
    <row r="448" spans="1:13" x14ac:dyDescent="0.25">
      <c r="A448" s="70">
        <v>2150</v>
      </c>
      <c r="B448" s="70" t="s">
        <v>229</v>
      </c>
      <c r="C448" s="70">
        <v>0</v>
      </c>
      <c r="D448" s="70" t="s">
        <v>1582</v>
      </c>
      <c r="E448" s="70">
        <v>0</v>
      </c>
      <c r="F448" s="70"/>
      <c r="G448" s="70">
        <v>-44.86</v>
      </c>
      <c r="H448" s="70">
        <v>-8.19</v>
      </c>
      <c r="I448" s="70">
        <v>4.3</v>
      </c>
      <c r="J448" s="70">
        <v>-0.56999999999999995</v>
      </c>
      <c r="K448" s="70">
        <v>-2.46</v>
      </c>
      <c r="L448" s="70">
        <v>-4.21</v>
      </c>
      <c r="M448" s="68">
        <f t="shared" si="6"/>
        <v>44.86</v>
      </c>
    </row>
    <row r="449" spans="1:13" x14ac:dyDescent="0.25">
      <c r="A449" s="70">
        <v>2084</v>
      </c>
      <c r="B449" s="70" t="s">
        <v>229</v>
      </c>
      <c r="C449" s="70">
        <v>0</v>
      </c>
      <c r="D449" s="70" t="s">
        <v>1517</v>
      </c>
      <c r="E449" s="70">
        <v>4</v>
      </c>
      <c r="F449" s="70"/>
      <c r="G449" s="70">
        <v>-554.65</v>
      </c>
      <c r="H449" s="70">
        <v>-10.86</v>
      </c>
      <c r="I449" s="70">
        <v>4.2699999999999996</v>
      </c>
      <c r="J449" s="70">
        <v>0.33</v>
      </c>
      <c r="K449" s="70">
        <v>-11.79</v>
      </c>
      <c r="L449" s="70">
        <v>5.07</v>
      </c>
      <c r="M449" s="68">
        <f t="shared" si="6"/>
        <v>554.65</v>
      </c>
    </row>
    <row r="450" spans="1:13" x14ac:dyDescent="0.25">
      <c r="A450" s="70">
        <v>2222</v>
      </c>
      <c r="B450" s="70" t="s">
        <v>229</v>
      </c>
      <c r="C450" s="70">
        <v>0</v>
      </c>
      <c r="D450" s="70" t="s">
        <v>1661</v>
      </c>
      <c r="E450" s="70">
        <v>4</v>
      </c>
      <c r="F450" s="70"/>
      <c r="G450" s="70">
        <v>-554.48</v>
      </c>
      <c r="H450" s="70">
        <v>-10.84</v>
      </c>
      <c r="I450" s="70">
        <v>4.2699999999999996</v>
      </c>
      <c r="J450" s="70">
        <v>0.33</v>
      </c>
      <c r="K450" s="70">
        <v>-11.84</v>
      </c>
      <c r="L450" s="70">
        <v>5.0599999999999996</v>
      </c>
      <c r="M450" s="68">
        <f t="shared" ref="M450:M513" si="7">G450*-1</f>
        <v>554.48</v>
      </c>
    </row>
    <row r="451" spans="1:13" x14ac:dyDescent="0.25">
      <c r="A451" s="70">
        <v>2242</v>
      </c>
      <c r="B451" s="70" t="s">
        <v>229</v>
      </c>
      <c r="C451" s="70">
        <v>0</v>
      </c>
      <c r="D451" s="70" t="s">
        <v>1697</v>
      </c>
      <c r="E451" s="70">
        <v>4</v>
      </c>
      <c r="F451" s="70"/>
      <c r="G451" s="70">
        <v>353.67</v>
      </c>
      <c r="H451" s="70">
        <v>7.21</v>
      </c>
      <c r="I451" s="70">
        <v>4.2699999999999996</v>
      </c>
      <c r="J451" s="70">
        <v>0.27</v>
      </c>
      <c r="K451" s="70">
        <v>4.54</v>
      </c>
      <c r="L451" s="70">
        <v>-3.16</v>
      </c>
      <c r="M451" s="68">
        <f t="shared" si="7"/>
        <v>-353.67</v>
      </c>
    </row>
    <row r="452" spans="1:13" x14ac:dyDescent="0.25">
      <c r="A452" s="70">
        <v>2147</v>
      </c>
      <c r="B452" s="70" t="s">
        <v>229</v>
      </c>
      <c r="C452" s="70">
        <v>0</v>
      </c>
      <c r="D452" s="70" t="s">
        <v>1577</v>
      </c>
      <c r="E452" s="70">
        <v>4</v>
      </c>
      <c r="F452" s="70"/>
      <c r="G452" s="70">
        <v>406.28</v>
      </c>
      <c r="H452" s="70">
        <v>-7.35</v>
      </c>
      <c r="I452" s="70">
        <v>4.1500000000000004</v>
      </c>
      <c r="J452" s="70">
        <v>-0.5</v>
      </c>
      <c r="K452" s="70">
        <v>7.78</v>
      </c>
      <c r="L452" s="70">
        <v>3.91</v>
      </c>
      <c r="M452" s="68">
        <f t="shared" si="7"/>
        <v>-406.28</v>
      </c>
    </row>
    <row r="453" spans="1:13" x14ac:dyDescent="0.25">
      <c r="A453" s="70">
        <v>2292</v>
      </c>
      <c r="B453" s="70" t="s">
        <v>229</v>
      </c>
      <c r="C453" s="70">
        <v>0</v>
      </c>
      <c r="D453" s="70" t="s">
        <v>1735</v>
      </c>
      <c r="E453" s="70">
        <v>4</v>
      </c>
      <c r="F453" s="70"/>
      <c r="G453" s="70">
        <v>-668.31</v>
      </c>
      <c r="H453" s="70">
        <v>-11.33</v>
      </c>
      <c r="I453" s="70">
        <v>3.96</v>
      </c>
      <c r="J453" s="70">
        <v>0.31</v>
      </c>
      <c r="K453" s="70">
        <v>-9.58</v>
      </c>
      <c r="L453" s="70">
        <v>-5.38</v>
      </c>
      <c r="M453" s="68">
        <f t="shared" si="7"/>
        <v>668.31</v>
      </c>
    </row>
    <row r="454" spans="1:13" x14ac:dyDescent="0.25">
      <c r="A454" s="70">
        <v>2016</v>
      </c>
      <c r="B454" s="70" t="s">
        <v>229</v>
      </c>
      <c r="C454" s="70">
        <v>0</v>
      </c>
      <c r="D454" s="70" t="s">
        <v>1447</v>
      </c>
      <c r="E454" s="70">
        <v>4</v>
      </c>
      <c r="F454" s="70"/>
      <c r="G454" s="70">
        <v>-668.16</v>
      </c>
      <c r="H454" s="70">
        <v>-11.36</v>
      </c>
      <c r="I454" s="70">
        <v>3.83</v>
      </c>
      <c r="J454" s="70">
        <v>0.3</v>
      </c>
      <c r="K454" s="70">
        <v>-9.5500000000000007</v>
      </c>
      <c r="L454" s="70">
        <v>5.38</v>
      </c>
      <c r="M454" s="68">
        <f t="shared" si="7"/>
        <v>668.16</v>
      </c>
    </row>
    <row r="455" spans="1:13" x14ac:dyDescent="0.25">
      <c r="A455" s="70">
        <v>2220</v>
      </c>
      <c r="B455" s="70" t="s">
        <v>229</v>
      </c>
      <c r="C455" s="70">
        <v>0</v>
      </c>
      <c r="D455" s="70" t="s">
        <v>1656</v>
      </c>
      <c r="E455" s="70">
        <v>0</v>
      </c>
      <c r="F455" s="70"/>
      <c r="G455" s="70">
        <v>-240.88</v>
      </c>
      <c r="H455" s="70">
        <v>-8.89</v>
      </c>
      <c r="I455" s="70">
        <v>3.49</v>
      </c>
      <c r="J455" s="70">
        <v>-0.51</v>
      </c>
      <c r="K455" s="70">
        <v>-9.1999999999999993</v>
      </c>
      <c r="L455" s="70">
        <v>-4.6900000000000004</v>
      </c>
      <c r="M455" s="68">
        <f t="shared" si="7"/>
        <v>240.88</v>
      </c>
    </row>
    <row r="456" spans="1:13" x14ac:dyDescent="0.25">
      <c r="A456" s="70">
        <v>2082</v>
      </c>
      <c r="B456" s="70" t="s">
        <v>229</v>
      </c>
      <c r="C456" s="70">
        <v>0</v>
      </c>
      <c r="D456" s="70" t="s">
        <v>1512</v>
      </c>
      <c r="E456" s="70">
        <v>0</v>
      </c>
      <c r="F456" s="70"/>
      <c r="G456" s="70">
        <v>-240.58</v>
      </c>
      <c r="H456" s="70">
        <v>-8.91</v>
      </c>
      <c r="I456" s="70">
        <v>3.46</v>
      </c>
      <c r="J456" s="70">
        <v>-0.51</v>
      </c>
      <c r="K456" s="70">
        <v>-9.25</v>
      </c>
      <c r="L456" s="70">
        <v>-4.6900000000000004</v>
      </c>
      <c r="M456" s="68">
        <f t="shared" si="7"/>
        <v>240.58</v>
      </c>
    </row>
    <row r="457" spans="1:13" x14ac:dyDescent="0.25">
      <c r="A457" s="70">
        <v>2096</v>
      </c>
      <c r="B457" s="70" t="s">
        <v>229</v>
      </c>
      <c r="C457" s="70">
        <v>0</v>
      </c>
      <c r="D457" s="70" t="s">
        <v>1537</v>
      </c>
      <c r="E457" s="70">
        <v>4</v>
      </c>
      <c r="F457" s="70"/>
      <c r="G457" s="70">
        <v>-409.67</v>
      </c>
      <c r="H457" s="70">
        <v>-9.84</v>
      </c>
      <c r="I457" s="70">
        <v>3.39</v>
      </c>
      <c r="J457" s="70">
        <v>-0.41</v>
      </c>
      <c r="K457" s="70">
        <v>-12.35</v>
      </c>
      <c r="L457" s="70">
        <v>5.22</v>
      </c>
      <c r="M457" s="68">
        <f t="shared" si="7"/>
        <v>409.67</v>
      </c>
    </row>
    <row r="458" spans="1:13" x14ac:dyDescent="0.25">
      <c r="A458" s="70">
        <v>2100</v>
      </c>
      <c r="B458" s="70" t="s">
        <v>229</v>
      </c>
      <c r="C458" s="70">
        <v>0</v>
      </c>
      <c r="D458" s="70" t="s">
        <v>1545</v>
      </c>
      <c r="E458" s="70">
        <v>4</v>
      </c>
      <c r="F458" s="70"/>
      <c r="G458" s="70">
        <v>320.60000000000002</v>
      </c>
      <c r="H458" s="70">
        <v>-7.38</v>
      </c>
      <c r="I458" s="70">
        <v>3.21</v>
      </c>
      <c r="J458" s="70">
        <v>-0.55000000000000004</v>
      </c>
      <c r="K458" s="70">
        <v>8.75</v>
      </c>
      <c r="L458" s="70">
        <v>3.56</v>
      </c>
      <c r="M458" s="68">
        <f t="shared" si="7"/>
        <v>-320.60000000000002</v>
      </c>
    </row>
    <row r="459" spans="1:13" x14ac:dyDescent="0.25">
      <c r="A459" s="70">
        <v>2076</v>
      </c>
      <c r="B459" s="70" t="s">
        <v>229</v>
      </c>
      <c r="C459" s="70">
        <v>0</v>
      </c>
      <c r="D459" s="70" t="s">
        <v>1501</v>
      </c>
      <c r="E459" s="70">
        <v>4</v>
      </c>
      <c r="F459" s="70"/>
      <c r="G459" s="70">
        <v>390.17</v>
      </c>
      <c r="H459" s="70">
        <v>-7.31</v>
      </c>
      <c r="I459" s="70">
        <v>3.09</v>
      </c>
      <c r="J459" s="70">
        <v>-0.33</v>
      </c>
      <c r="K459" s="70">
        <v>4.7300000000000004</v>
      </c>
      <c r="L459" s="70">
        <v>4.05</v>
      </c>
      <c r="M459" s="68">
        <f t="shared" si="7"/>
        <v>-390.17</v>
      </c>
    </row>
    <row r="460" spans="1:13" x14ac:dyDescent="0.25">
      <c r="A460" s="70">
        <v>2214</v>
      </c>
      <c r="B460" s="70" t="s">
        <v>229</v>
      </c>
      <c r="C460" s="70">
        <v>0</v>
      </c>
      <c r="D460" s="70" t="s">
        <v>1645</v>
      </c>
      <c r="E460" s="70">
        <v>4</v>
      </c>
      <c r="F460" s="70"/>
      <c r="G460" s="70">
        <v>390.65</v>
      </c>
      <c r="H460" s="70">
        <v>-7.33</v>
      </c>
      <c r="I460" s="70">
        <v>3.08</v>
      </c>
      <c r="J460" s="70">
        <v>-0.34</v>
      </c>
      <c r="K460" s="70">
        <v>4.74</v>
      </c>
      <c r="L460" s="70">
        <v>4.0599999999999996</v>
      </c>
      <c r="M460" s="68">
        <f t="shared" si="7"/>
        <v>-390.65</v>
      </c>
    </row>
    <row r="461" spans="1:13" x14ac:dyDescent="0.25">
      <c r="A461" s="70">
        <v>2077</v>
      </c>
      <c r="B461" s="70" t="s">
        <v>229</v>
      </c>
      <c r="C461" s="70">
        <v>0</v>
      </c>
      <c r="D461" s="70" t="s">
        <v>1503</v>
      </c>
      <c r="E461" s="70">
        <v>4</v>
      </c>
      <c r="F461" s="70"/>
      <c r="G461" s="70">
        <v>417.55</v>
      </c>
      <c r="H461" s="70">
        <v>-7.35</v>
      </c>
      <c r="I461" s="70">
        <v>3.07</v>
      </c>
      <c r="J461" s="70">
        <v>-0.42</v>
      </c>
      <c r="K461" s="70">
        <v>7.89</v>
      </c>
      <c r="L461" s="70">
        <v>4</v>
      </c>
      <c r="M461" s="68">
        <f t="shared" si="7"/>
        <v>-417.55</v>
      </c>
    </row>
    <row r="462" spans="1:13" x14ac:dyDescent="0.25">
      <c r="A462" s="70">
        <v>2215</v>
      </c>
      <c r="B462" s="70" t="s">
        <v>229</v>
      </c>
      <c r="C462" s="70">
        <v>0</v>
      </c>
      <c r="D462" s="70" t="s">
        <v>1647</v>
      </c>
      <c r="E462" s="70">
        <v>4</v>
      </c>
      <c r="F462" s="70"/>
      <c r="G462" s="70">
        <v>418.05</v>
      </c>
      <c r="H462" s="70">
        <v>-7.36</v>
      </c>
      <c r="I462" s="70">
        <v>3.02</v>
      </c>
      <c r="J462" s="70">
        <v>-0.42</v>
      </c>
      <c r="K462" s="70">
        <v>7.91</v>
      </c>
      <c r="L462" s="70">
        <v>4</v>
      </c>
      <c r="M462" s="68">
        <f t="shared" si="7"/>
        <v>-418.05</v>
      </c>
    </row>
    <row r="463" spans="1:13" x14ac:dyDescent="0.25">
      <c r="A463" s="70">
        <v>2153</v>
      </c>
      <c r="B463" s="70" t="s">
        <v>229</v>
      </c>
      <c r="C463" s="70">
        <v>0</v>
      </c>
      <c r="D463" s="70" t="s">
        <v>1589</v>
      </c>
      <c r="E463" s="70">
        <v>4</v>
      </c>
      <c r="F463" s="70"/>
      <c r="G463" s="70">
        <v>-549.29999999999995</v>
      </c>
      <c r="H463" s="70">
        <v>-10.85</v>
      </c>
      <c r="I463" s="70">
        <v>2.87</v>
      </c>
      <c r="J463" s="70">
        <v>0.33</v>
      </c>
      <c r="K463" s="70">
        <v>-11.33</v>
      </c>
      <c r="L463" s="70">
        <v>5.0599999999999996</v>
      </c>
      <c r="M463" s="68">
        <f t="shared" si="7"/>
        <v>549.29999999999995</v>
      </c>
    </row>
    <row r="464" spans="1:13" x14ac:dyDescent="0.25">
      <c r="A464" s="70">
        <v>2035</v>
      </c>
      <c r="B464" s="70" t="s">
        <v>229</v>
      </c>
      <c r="C464" s="70">
        <v>0</v>
      </c>
      <c r="D464" s="70" t="s">
        <v>1481</v>
      </c>
      <c r="E464" s="70">
        <v>4</v>
      </c>
      <c r="F464" s="70"/>
      <c r="G464" s="70">
        <v>352.28</v>
      </c>
      <c r="H464" s="70">
        <v>7.19</v>
      </c>
      <c r="I464" s="70">
        <v>2.77</v>
      </c>
      <c r="J464" s="70">
        <v>-0.27</v>
      </c>
      <c r="K464" s="70">
        <v>3.88</v>
      </c>
      <c r="L464" s="70">
        <v>3.15</v>
      </c>
      <c r="M464" s="68">
        <f t="shared" si="7"/>
        <v>-352.28</v>
      </c>
    </row>
    <row r="465" spans="1:13" x14ac:dyDescent="0.25">
      <c r="A465" s="70">
        <v>2173</v>
      </c>
      <c r="B465" s="70" t="s">
        <v>229</v>
      </c>
      <c r="C465" s="70">
        <v>0</v>
      </c>
      <c r="D465" s="70" t="s">
        <v>1625</v>
      </c>
      <c r="E465" s="70">
        <v>4</v>
      </c>
      <c r="F465" s="70"/>
      <c r="G465" s="70">
        <v>351.84</v>
      </c>
      <c r="H465" s="70">
        <v>7.2</v>
      </c>
      <c r="I465" s="70">
        <v>2.75</v>
      </c>
      <c r="J465" s="70">
        <v>-0.27</v>
      </c>
      <c r="K465" s="70">
        <v>3.88</v>
      </c>
      <c r="L465" s="70">
        <v>-3.16</v>
      </c>
      <c r="M465" s="68">
        <f t="shared" si="7"/>
        <v>-351.84</v>
      </c>
    </row>
    <row r="466" spans="1:13" x14ac:dyDescent="0.25">
      <c r="A466" s="70">
        <v>2223</v>
      </c>
      <c r="B466" s="70" t="s">
        <v>229</v>
      </c>
      <c r="C466" s="70">
        <v>0</v>
      </c>
      <c r="D466" s="70" t="s">
        <v>1663</v>
      </c>
      <c r="E466" s="70">
        <v>4</v>
      </c>
      <c r="F466" s="70"/>
      <c r="G466" s="70">
        <v>-661.75</v>
      </c>
      <c r="H466" s="70">
        <v>-11.34</v>
      </c>
      <c r="I466" s="70">
        <v>2.15</v>
      </c>
      <c r="J466" s="70">
        <v>0.31</v>
      </c>
      <c r="K466" s="70">
        <v>-8.92</v>
      </c>
      <c r="L466" s="70">
        <v>-5.38</v>
      </c>
      <c r="M466" s="68">
        <f t="shared" si="7"/>
        <v>661.75</v>
      </c>
    </row>
    <row r="467" spans="1:13" x14ac:dyDescent="0.25">
      <c r="A467" s="70">
        <v>2085</v>
      </c>
      <c r="B467" s="70" t="s">
        <v>229</v>
      </c>
      <c r="C467" s="70">
        <v>0</v>
      </c>
      <c r="D467" s="70" t="s">
        <v>1519</v>
      </c>
      <c r="E467" s="70">
        <v>4</v>
      </c>
      <c r="F467" s="70"/>
      <c r="G467" s="70">
        <v>-661.69</v>
      </c>
      <c r="H467" s="70">
        <v>-11.35</v>
      </c>
      <c r="I467" s="70">
        <v>2.09</v>
      </c>
      <c r="J467" s="70">
        <v>0.31</v>
      </c>
      <c r="K467" s="70">
        <v>-8.93</v>
      </c>
      <c r="L467" s="70">
        <v>5.38</v>
      </c>
      <c r="M467" s="68">
        <f t="shared" si="7"/>
        <v>661.69</v>
      </c>
    </row>
    <row r="468" spans="1:13" x14ac:dyDescent="0.25">
      <c r="A468" s="70">
        <v>2025</v>
      </c>
      <c r="B468" s="70" t="s">
        <v>229</v>
      </c>
      <c r="C468" s="70">
        <v>0</v>
      </c>
      <c r="D468" s="70" t="s">
        <v>1460</v>
      </c>
      <c r="E468" s="70">
        <v>0</v>
      </c>
      <c r="F468" s="70"/>
      <c r="G468" s="70">
        <v>-665.23</v>
      </c>
      <c r="H468" s="70">
        <v>-11.31</v>
      </c>
      <c r="I468" s="70">
        <v>2.08</v>
      </c>
      <c r="J468" s="70">
        <v>0.3</v>
      </c>
      <c r="K468" s="70">
        <v>-8.8000000000000007</v>
      </c>
      <c r="L468" s="70">
        <v>5.38</v>
      </c>
      <c r="M468" s="68">
        <f t="shared" si="7"/>
        <v>665.23</v>
      </c>
    </row>
    <row r="469" spans="1:13" x14ac:dyDescent="0.25">
      <c r="A469" s="70">
        <v>2163</v>
      </c>
      <c r="B469" s="70" t="s">
        <v>229</v>
      </c>
      <c r="C469" s="70">
        <v>0</v>
      </c>
      <c r="D469" s="70" t="s">
        <v>1604</v>
      </c>
      <c r="E469" s="70">
        <v>0</v>
      </c>
      <c r="F469" s="70"/>
      <c r="G469" s="70">
        <v>-665.02</v>
      </c>
      <c r="H469" s="70">
        <v>-11.32</v>
      </c>
      <c r="I469" s="70">
        <v>2.02</v>
      </c>
      <c r="J469" s="70">
        <v>0.3</v>
      </c>
      <c r="K469" s="70">
        <v>-8.81</v>
      </c>
      <c r="L469" s="70">
        <v>-5.38</v>
      </c>
      <c r="M469" s="68">
        <f t="shared" si="7"/>
        <v>665.02</v>
      </c>
    </row>
    <row r="470" spans="1:13" x14ac:dyDescent="0.25">
      <c r="A470" s="70">
        <v>2145</v>
      </c>
      <c r="B470" s="70" t="s">
        <v>229</v>
      </c>
      <c r="C470" s="70">
        <v>0</v>
      </c>
      <c r="D470" s="70" t="s">
        <v>1573</v>
      </c>
      <c r="E470" s="70">
        <v>4</v>
      </c>
      <c r="F470" s="70"/>
      <c r="G470" s="70">
        <v>388.98</v>
      </c>
      <c r="H470" s="70">
        <v>-7.32</v>
      </c>
      <c r="I470" s="70">
        <v>1.71</v>
      </c>
      <c r="J470" s="70">
        <v>-0.34</v>
      </c>
      <c r="K470" s="70">
        <v>4.29</v>
      </c>
      <c r="L470" s="70">
        <v>4.0599999999999996</v>
      </c>
      <c r="M470" s="68">
        <f t="shared" si="7"/>
        <v>-388.98</v>
      </c>
    </row>
    <row r="471" spans="1:13" x14ac:dyDescent="0.25">
      <c r="A471" s="70">
        <v>2104</v>
      </c>
      <c r="B471" s="70" t="s">
        <v>229</v>
      </c>
      <c r="C471" s="70">
        <v>0</v>
      </c>
      <c r="D471" s="70" t="s">
        <v>1553</v>
      </c>
      <c r="E471" s="70">
        <v>4</v>
      </c>
      <c r="F471" s="70"/>
      <c r="G471" s="70">
        <v>350.49</v>
      </c>
      <c r="H471" s="70">
        <v>7.19</v>
      </c>
      <c r="I471" s="70">
        <v>1.53</v>
      </c>
      <c r="J471" s="70">
        <v>-0.27</v>
      </c>
      <c r="K471" s="70">
        <v>3.79</v>
      </c>
      <c r="L471" s="70">
        <v>-3.16</v>
      </c>
      <c r="M471" s="68">
        <f t="shared" si="7"/>
        <v>-350.49</v>
      </c>
    </row>
    <row r="472" spans="1:13" x14ac:dyDescent="0.25">
      <c r="A472" s="70">
        <v>2151</v>
      </c>
      <c r="B472" s="70" t="s">
        <v>229</v>
      </c>
      <c r="C472" s="70">
        <v>0</v>
      </c>
      <c r="D472" s="70" t="s">
        <v>1584</v>
      </c>
      <c r="E472" s="70">
        <v>0</v>
      </c>
      <c r="F472" s="70"/>
      <c r="G472" s="70">
        <v>-237.44</v>
      </c>
      <c r="H472" s="70">
        <v>-8.9</v>
      </c>
      <c r="I472" s="70">
        <v>1.51</v>
      </c>
      <c r="J472" s="70">
        <v>-0.51</v>
      </c>
      <c r="K472" s="70">
        <v>-8.69</v>
      </c>
      <c r="L472" s="70">
        <v>-4.6900000000000004</v>
      </c>
      <c r="M472" s="68">
        <f t="shared" si="7"/>
        <v>237.44</v>
      </c>
    </row>
    <row r="473" spans="1:13" x14ac:dyDescent="0.25">
      <c r="A473" s="70">
        <v>2094</v>
      </c>
      <c r="B473" s="70" t="s">
        <v>229</v>
      </c>
      <c r="C473" s="70">
        <v>0</v>
      </c>
      <c r="D473" s="70" t="s">
        <v>1532</v>
      </c>
      <c r="E473" s="70">
        <v>0</v>
      </c>
      <c r="F473" s="70"/>
      <c r="G473" s="70">
        <v>-658.81</v>
      </c>
      <c r="H473" s="70">
        <v>-11.32</v>
      </c>
      <c r="I473" s="70">
        <v>1.47</v>
      </c>
      <c r="J473" s="70">
        <v>0.3</v>
      </c>
      <c r="K473" s="70">
        <v>-8.26</v>
      </c>
      <c r="L473" s="70">
        <v>-5.38</v>
      </c>
      <c r="M473" s="68">
        <f t="shared" si="7"/>
        <v>658.81</v>
      </c>
    </row>
    <row r="474" spans="1:13" x14ac:dyDescent="0.25">
      <c r="A474" s="70">
        <v>2146</v>
      </c>
      <c r="B474" s="70" t="s">
        <v>229</v>
      </c>
      <c r="C474" s="70">
        <v>0</v>
      </c>
      <c r="D474" s="70" t="s">
        <v>1575</v>
      </c>
      <c r="E474" s="70">
        <v>4</v>
      </c>
      <c r="F474" s="70"/>
      <c r="G474" s="70">
        <v>416.56</v>
      </c>
      <c r="H474" s="70">
        <v>-7.36</v>
      </c>
      <c r="I474" s="70">
        <v>1.4</v>
      </c>
      <c r="J474" s="70">
        <v>-0.42</v>
      </c>
      <c r="K474" s="70">
        <v>7.55</v>
      </c>
      <c r="L474" s="70">
        <v>4</v>
      </c>
      <c r="M474" s="68">
        <f t="shared" si="7"/>
        <v>-416.56</v>
      </c>
    </row>
    <row r="475" spans="1:13" x14ac:dyDescent="0.25">
      <c r="A475" s="70">
        <v>2102</v>
      </c>
      <c r="B475" s="70" t="s">
        <v>229</v>
      </c>
      <c r="C475" s="70">
        <v>0</v>
      </c>
      <c r="D475" s="70" t="s">
        <v>1548</v>
      </c>
      <c r="E475" s="70">
        <v>0</v>
      </c>
      <c r="F475" s="70"/>
      <c r="G475" s="70">
        <v>413.17</v>
      </c>
      <c r="H475" s="70">
        <v>-7.38</v>
      </c>
      <c r="I475" s="70">
        <v>-1.1200000000000001</v>
      </c>
      <c r="J475" s="70">
        <v>-0.41</v>
      </c>
      <c r="K475" s="70">
        <v>7.24</v>
      </c>
      <c r="L475" s="70">
        <v>-4.01</v>
      </c>
      <c r="M475" s="68">
        <f t="shared" si="7"/>
        <v>-413.17</v>
      </c>
    </row>
    <row r="476" spans="1:13" x14ac:dyDescent="0.25">
      <c r="A476" s="70">
        <v>2154</v>
      </c>
      <c r="B476" s="70" t="s">
        <v>229</v>
      </c>
      <c r="C476" s="70">
        <v>0</v>
      </c>
      <c r="D476" s="70" t="s">
        <v>1591</v>
      </c>
      <c r="E476" s="70">
        <v>4</v>
      </c>
      <c r="F476" s="70"/>
      <c r="G476" s="70">
        <v>-655.44</v>
      </c>
      <c r="H476" s="70">
        <v>-11.35</v>
      </c>
      <c r="I476" s="70">
        <v>-1.32</v>
      </c>
      <c r="J476" s="70">
        <v>0.31</v>
      </c>
      <c r="K476" s="70">
        <v>-8.39</v>
      </c>
      <c r="L476" s="70">
        <v>5.38</v>
      </c>
      <c r="M476" s="68">
        <f t="shared" si="7"/>
        <v>655.44</v>
      </c>
    </row>
    <row r="477" spans="1:13" x14ac:dyDescent="0.25">
      <c r="A477" s="70">
        <v>2144</v>
      </c>
      <c r="B477" s="70" t="s">
        <v>229</v>
      </c>
      <c r="C477" s="70">
        <v>0</v>
      </c>
      <c r="D477" s="70" t="s">
        <v>1570</v>
      </c>
      <c r="E477" s="70">
        <v>0</v>
      </c>
      <c r="F477" s="70"/>
      <c r="G477" s="70">
        <v>347.6</v>
      </c>
      <c r="H477" s="70">
        <v>7.16</v>
      </c>
      <c r="I477" s="70">
        <v>-1.9</v>
      </c>
      <c r="J477" s="70">
        <v>0.27</v>
      </c>
      <c r="K477" s="70">
        <v>3.46</v>
      </c>
      <c r="L477" s="70">
        <v>3.14</v>
      </c>
      <c r="M477" s="68">
        <f t="shared" si="7"/>
        <v>-347.6</v>
      </c>
    </row>
    <row r="478" spans="1:13" x14ac:dyDescent="0.25">
      <c r="A478" s="70">
        <v>2103</v>
      </c>
      <c r="B478" s="70" t="s">
        <v>229</v>
      </c>
      <c r="C478" s="70">
        <v>0</v>
      </c>
      <c r="D478" s="70" t="s">
        <v>1550</v>
      </c>
      <c r="E478" s="70">
        <v>0</v>
      </c>
      <c r="F478" s="70"/>
      <c r="G478" s="70">
        <v>388.88</v>
      </c>
      <c r="H478" s="70">
        <v>-7.33</v>
      </c>
      <c r="I478" s="70">
        <v>-2.12</v>
      </c>
      <c r="J478" s="70">
        <v>-0.33</v>
      </c>
      <c r="K478" s="70">
        <v>3.81</v>
      </c>
      <c r="L478" s="70">
        <v>-4.05</v>
      </c>
      <c r="M478" s="68">
        <f t="shared" si="7"/>
        <v>-388.88</v>
      </c>
    </row>
    <row r="479" spans="1:13" x14ac:dyDescent="0.25">
      <c r="A479" s="70">
        <v>2097</v>
      </c>
      <c r="B479" s="70" t="s">
        <v>229</v>
      </c>
      <c r="C479" s="70">
        <v>0</v>
      </c>
      <c r="D479" s="70" t="s">
        <v>1539</v>
      </c>
      <c r="E479" s="70">
        <v>4</v>
      </c>
      <c r="F479" s="70"/>
      <c r="G479" s="70">
        <v>-240.38</v>
      </c>
      <c r="H479" s="70">
        <v>-8.92</v>
      </c>
      <c r="I479" s="70">
        <v>-2.16</v>
      </c>
      <c r="J479" s="70">
        <v>-0.52</v>
      </c>
      <c r="K479" s="70">
        <v>-8.59</v>
      </c>
      <c r="L479" s="70">
        <v>4.7</v>
      </c>
      <c r="M479" s="68">
        <f t="shared" si="7"/>
        <v>240.38</v>
      </c>
    </row>
    <row r="480" spans="1:13" x14ac:dyDescent="0.25">
      <c r="A480" s="70">
        <v>2033</v>
      </c>
      <c r="B480" s="70" t="s">
        <v>229</v>
      </c>
      <c r="C480" s="70">
        <v>0</v>
      </c>
      <c r="D480" s="70" t="s">
        <v>1476</v>
      </c>
      <c r="E480" s="70">
        <v>0</v>
      </c>
      <c r="F480" s="70"/>
      <c r="G480" s="70">
        <v>414.67</v>
      </c>
      <c r="H480" s="70">
        <v>-7.38</v>
      </c>
      <c r="I480" s="70">
        <v>-2.76</v>
      </c>
      <c r="J480" s="70">
        <v>-0.41</v>
      </c>
      <c r="K480" s="70">
        <v>7.6</v>
      </c>
      <c r="L480" s="70">
        <v>-4.01</v>
      </c>
      <c r="M480" s="68">
        <f t="shared" si="7"/>
        <v>-414.67</v>
      </c>
    </row>
    <row r="481" spans="1:13" x14ac:dyDescent="0.25">
      <c r="A481" s="70">
        <v>2171</v>
      </c>
      <c r="B481" s="70" t="s">
        <v>229</v>
      </c>
      <c r="C481" s="70">
        <v>0</v>
      </c>
      <c r="D481" s="70" t="s">
        <v>1620</v>
      </c>
      <c r="E481" s="70">
        <v>0</v>
      </c>
      <c r="F481" s="70"/>
      <c r="G481" s="70">
        <v>414.16</v>
      </c>
      <c r="H481" s="70">
        <v>-7.37</v>
      </c>
      <c r="I481" s="70">
        <v>-2.8</v>
      </c>
      <c r="J481" s="70">
        <v>-0.41</v>
      </c>
      <c r="K481" s="70">
        <v>7.59</v>
      </c>
      <c r="L481" s="70">
        <v>-4</v>
      </c>
      <c r="M481" s="68">
        <f t="shared" si="7"/>
        <v>-414.16</v>
      </c>
    </row>
    <row r="482" spans="1:13" x14ac:dyDescent="0.25">
      <c r="A482" s="70">
        <v>2095</v>
      </c>
      <c r="B482" s="70" t="s">
        <v>229</v>
      </c>
      <c r="C482" s="70">
        <v>0</v>
      </c>
      <c r="D482" s="70" t="s">
        <v>1534</v>
      </c>
      <c r="E482" s="70">
        <v>0</v>
      </c>
      <c r="F482" s="70"/>
      <c r="G482" s="70">
        <v>-551.89</v>
      </c>
      <c r="H482" s="70">
        <v>-10.85</v>
      </c>
      <c r="I482" s="70">
        <v>-2.94</v>
      </c>
      <c r="J482" s="70">
        <v>0.33</v>
      </c>
      <c r="K482" s="70">
        <v>-11.34</v>
      </c>
      <c r="L482" s="70">
        <v>-5.0599999999999996</v>
      </c>
      <c r="M482" s="68">
        <f t="shared" si="7"/>
        <v>551.89</v>
      </c>
    </row>
    <row r="483" spans="1:13" x14ac:dyDescent="0.25">
      <c r="A483" s="70">
        <v>2152</v>
      </c>
      <c r="B483" s="70" t="s">
        <v>229</v>
      </c>
      <c r="C483" s="70">
        <v>0</v>
      </c>
      <c r="D483" s="70" t="s">
        <v>1586</v>
      </c>
      <c r="E483" s="70">
        <v>0</v>
      </c>
      <c r="F483" s="70"/>
      <c r="G483" s="70">
        <v>-407.43</v>
      </c>
      <c r="H483" s="70">
        <v>-9.83</v>
      </c>
      <c r="I483" s="70">
        <v>-3.08</v>
      </c>
      <c r="J483" s="70">
        <v>-0.4</v>
      </c>
      <c r="K483" s="70">
        <v>-12.09</v>
      </c>
      <c r="L483" s="70">
        <v>-5.2</v>
      </c>
      <c r="M483" s="68">
        <f t="shared" si="7"/>
        <v>407.43</v>
      </c>
    </row>
    <row r="484" spans="1:13" x14ac:dyDescent="0.25">
      <c r="A484" s="70">
        <v>2075</v>
      </c>
      <c r="B484" s="70" t="s">
        <v>229</v>
      </c>
      <c r="C484" s="70">
        <v>0</v>
      </c>
      <c r="D484" s="70" t="s">
        <v>1498</v>
      </c>
      <c r="E484" s="70">
        <v>0</v>
      </c>
      <c r="F484" s="70"/>
      <c r="G484" s="70">
        <v>348.95</v>
      </c>
      <c r="H484" s="70">
        <v>7.17</v>
      </c>
      <c r="I484" s="70">
        <v>-3.09</v>
      </c>
      <c r="J484" s="70">
        <v>0.27</v>
      </c>
      <c r="K484" s="70">
        <v>3.58</v>
      </c>
      <c r="L484" s="70">
        <v>3.14</v>
      </c>
      <c r="M484" s="68">
        <f t="shared" si="7"/>
        <v>-348.95</v>
      </c>
    </row>
    <row r="485" spans="1:13" x14ac:dyDescent="0.25">
      <c r="A485" s="70">
        <v>2213</v>
      </c>
      <c r="B485" s="70" t="s">
        <v>229</v>
      </c>
      <c r="C485" s="70">
        <v>0</v>
      </c>
      <c r="D485" s="70" t="s">
        <v>1642</v>
      </c>
      <c r="E485" s="70">
        <v>0</v>
      </c>
      <c r="F485" s="70"/>
      <c r="G485" s="70">
        <v>349.38</v>
      </c>
      <c r="H485" s="70">
        <v>7.15</v>
      </c>
      <c r="I485" s="70">
        <v>-3.09</v>
      </c>
      <c r="J485" s="70">
        <v>0.27</v>
      </c>
      <c r="K485" s="70">
        <v>3.56</v>
      </c>
      <c r="L485" s="70">
        <v>-3.13</v>
      </c>
      <c r="M485" s="68">
        <f t="shared" si="7"/>
        <v>-349.38</v>
      </c>
    </row>
    <row r="486" spans="1:13" x14ac:dyDescent="0.25">
      <c r="A486" s="70">
        <v>2034</v>
      </c>
      <c r="B486" s="70" t="s">
        <v>229</v>
      </c>
      <c r="C486" s="70">
        <v>0</v>
      </c>
      <c r="D486" s="70" t="s">
        <v>1478</v>
      </c>
      <c r="E486" s="70">
        <v>0</v>
      </c>
      <c r="F486" s="70"/>
      <c r="G486" s="70">
        <v>390.56</v>
      </c>
      <c r="H486" s="70">
        <v>-7.34</v>
      </c>
      <c r="I486" s="70">
        <v>-3.44</v>
      </c>
      <c r="J486" s="70">
        <v>-0.33</v>
      </c>
      <c r="K486" s="70">
        <v>4.1500000000000004</v>
      </c>
      <c r="L486" s="70">
        <v>-4.0599999999999996</v>
      </c>
      <c r="M486" s="68">
        <f t="shared" si="7"/>
        <v>-390.56</v>
      </c>
    </row>
    <row r="487" spans="1:13" x14ac:dyDescent="0.25">
      <c r="A487" s="70">
        <v>2172</v>
      </c>
      <c r="B487" s="70" t="s">
        <v>229</v>
      </c>
      <c r="C487" s="70">
        <v>0</v>
      </c>
      <c r="D487" s="70" t="s">
        <v>1622</v>
      </c>
      <c r="E487" s="70">
        <v>0</v>
      </c>
      <c r="F487" s="70"/>
      <c r="G487" s="70">
        <v>390.07</v>
      </c>
      <c r="H487" s="70">
        <v>-7.32</v>
      </c>
      <c r="I487" s="70">
        <v>-3.47</v>
      </c>
      <c r="J487" s="70">
        <v>-0.33</v>
      </c>
      <c r="K487" s="70">
        <v>4.1500000000000004</v>
      </c>
      <c r="L487" s="70">
        <v>-4.05</v>
      </c>
      <c r="M487" s="68">
        <f t="shared" si="7"/>
        <v>-390.07</v>
      </c>
    </row>
    <row r="488" spans="1:13" x14ac:dyDescent="0.25">
      <c r="A488" s="70">
        <v>2101</v>
      </c>
      <c r="B488" s="70" t="s">
        <v>229</v>
      </c>
      <c r="C488" s="70">
        <v>0</v>
      </c>
      <c r="D488" s="70" t="s">
        <v>1546</v>
      </c>
      <c r="E488" s="70">
        <v>0</v>
      </c>
      <c r="F488" s="70"/>
      <c r="G488" s="70">
        <v>397.39</v>
      </c>
      <c r="H488" s="70">
        <v>-7.37</v>
      </c>
      <c r="I488" s="70">
        <v>-3.58</v>
      </c>
      <c r="J488" s="70">
        <v>-0.49</v>
      </c>
      <c r="K488" s="70">
        <v>8.75</v>
      </c>
      <c r="L488" s="70">
        <v>-3.92</v>
      </c>
      <c r="M488" s="68">
        <f t="shared" si="7"/>
        <v>-397.39</v>
      </c>
    </row>
    <row r="489" spans="1:13" x14ac:dyDescent="0.25">
      <c r="A489" s="70">
        <v>2232</v>
      </c>
      <c r="B489" s="70" t="s">
        <v>229</v>
      </c>
      <c r="C489" s="70">
        <v>0</v>
      </c>
      <c r="D489" s="70" t="s">
        <v>1676</v>
      </c>
      <c r="E489" s="70">
        <v>0</v>
      </c>
      <c r="F489" s="70"/>
      <c r="G489" s="70">
        <v>-671.48</v>
      </c>
      <c r="H489" s="70">
        <v>-11.33</v>
      </c>
      <c r="I489" s="70">
        <v>-3.71</v>
      </c>
      <c r="J489" s="70">
        <v>0.3</v>
      </c>
      <c r="K489" s="70">
        <v>-9.4499999999999993</v>
      </c>
      <c r="L489" s="70">
        <v>-5.39</v>
      </c>
      <c r="M489" s="68">
        <f t="shared" si="7"/>
        <v>671.48</v>
      </c>
    </row>
    <row r="490" spans="1:13" x14ac:dyDescent="0.25">
      <c r="A490" s="70">
        <v>1956</v>
      </c>
      <c r="B490" s="70" t="s">
        <v>229</v>
      </c>
      <c r="C490" s="70">
        <v>0</v>
      </c>
      <c r="D490" s="70" t="s">
        <v>1388</v>
      </c>
      <c r="E490" s="70">
        <v>0</v>
      </c>
      <c r="F490" s="70"/>
      <c r="G490" s="70">
        <v>-671.7</v>
      </c>
      <c r="H490" s="70">
        <v>-11.3</v>
      </c>
      <c r="I490" s="70">
        <v>-3.83</v>
      </c>
      <c r="J490" s="70">
        <v>0.31</v>
      </c>
      <c r="K490" s="70">
        <v>-9.48</v>
      </c>
      <c r="L490" s="70">
        <v>5.38</v>
      </c>
      <c r="M490" s="68">
        <f t="shared" si="7"/>
        <v>671.7</v>
      </c>
    </row>
    <row r="491" spans="1:13" x14ac:dyDescent="0.25">
      <c r="A491" s="70">
        <v>2166</v>
      </c>
      <c r="B491" s="70" t="s">
        <v>229</v>
      </c>
      <c r="C491" s="70">
        <v>0</v>
      </c>
      <c r="D491" s="70" t="s">
        <v>1611</v>
      </c>
      <c r="E491" s="70">
        <v>4</v>
      </c>
      <c r="F491" s="70"/>
      <c r="G491" s="70">
        <v>-243.53</v>
      </c>
      <c r="H491" s="70">
        <v>-8.93</v>
      </c>
      <c r="I491" s="70">
        <v>-4.03</v>
      </c>
      <c r="J491" s="70">
        <v>-0.52</v>
      </c>
      <c r="K491" s="70">
        <v>-9.14</v>
      </c>
      <c r="L491" s="70">
        <v>4.71</v>
      </c>
      <c r="M491" s="68">
        <f t="shared" si="7"/>
        <v>243.53</v>
      </c>
    </row>
    <row r="492" spans="1:13" x14ac:dyDescent="0.25">
      <c r="A492" s="70">
        <v>2028</v>
      </c>
      <c r="B492" s="70" t="s">
        <v>229</v>
      </c>
      <c r="C492" s="70">
        <v>0</v>
      </c>
      <c r="D492" s="70" t="s">
        <v>1467</v>
      </c>
      <c r="E492" s="70">
        <v>4</v>
      </c>
      <c r="F492" s="70"/>
      <c r="G492" s="70">
        <v>-243.83</v>
      </c>
      <c r="H492" s="70">
        <v>-8.92</v>
      </c>
      <c r="I492" s="70">
        <v>-4.0599999999999996</v>
      </c>
      <c r="J492" s="70">
        <v>-0.52</v>
      </c>
      <c r="K492" s="70">
        <v>-9.09</v>
      </c>
      <c r="L492" s="70">
        <v>4.7</v>
      </c>
      <c r="M492" s="68">
        <f t="shared" si="7"/>
        <v>243.83</v>
      </c>
    </row>
    <row r="493" spans="1:13" x14ac:dyDescent="0.25">
      <c r="A493" s="70">
        <v>2026</v>
      </c>
      <c r="B493" s="70" t="s">
        <v>229</v>
      </c>
      <c r="C493" s="70">
        <v>0</v>
      </c>
      <c r="D493" s="70" t="s">
        <v>1462</v>
      </c>
      <c r="E493" s="70">
        <v>0</v>
      </c>
      <c r="F493" s="70"/>
      <c r="G493" s="70">
        <v>-557.19000000000005</v>
      </c>
      <c r="H493" s="70">
        <v>-10.84</v>
      </c>
      <c r="I493" s="70">
        <v>-4.34</v>
      </c>
      <c r="J493" s="70">
        <v>0.33</v>
      </c>
      <c r="K493" s="70">
        <v>-11.86</v>
      </c>
      <c r="L493" s="70">
        <v>-5.0599999999999996</v>
      </c>
      <c r="M493" s="68">
        <f t="shared" si="7"/>
        <v>557.19000000000005</v>
      </c>
    </row>
    <row r="494" spans="1:13" x14ac:dyDescent="0.25">
      <c r="A494" s="70">
        <v>2099</v>
      </c>
      <c r="B494" s="70" t="s">
        <v>229</v>
      </c>
      <c r="C494" s="70">
        <v>0</v>
      </c>
      <c r="D494" s="70" t="s">
        <v>1543</v>
      </c>
      <c r="E494" s="70">
        <v>4</v>
      </c>
      <c r="F494" s="70"/>
      <c r="G494" s="70">
        <v>167.49</v>
      </c>
      <c r="H494" s="70">
        <v>-7.66</v>
      </c>
      <c r="I494" s="70">
        <v>-4.3499999999999996</v>
      </c>
      <c r="J494" s="70">
        <v>-0.59</v>
      </c>
      <c r="K494" s="70">
        <v>6.38</v>
      </c>
      <c r="L494" s="70">
        <v>3.82</v>
      </c>
      <c r="M494" s="68">
        <f t="shared" si="7"/>
        <v>-167.49</v>
      </c>
    </row>
    <row r="495" spans="1:13" x14ac:dyDescent="0.25">
      <c r="A495" s="70">
        <v>2153</v>
      </c>
      <c r="B495" s="70" t="s">
        <v>229</v>
      </c>
      <c r="C495" s="70">
        <v>0</v>
      </c>
      <c r="D495" s="70" t="s">
        <v>1588</v>
      </c>
      <c r="E495" s="70">
        <v>0</v>
      </c>
      <c r="F495" s="70"/>
      <c r="G495" s="70">
        <v>-544.42999999999995</v>
      </c>
      <c r="H495" s="70">
        <v>-10.85</v>
      </c>
      <c r="I495" s="70">
        <v>-4.3499999999999996</v>
      </c>
      <c r="J495" s="70">
        <v>0.33</v>
      </c>
      <c r="K495" s="70">
        <v>-12.8</v>
      </c>
      <c r="L495" s="70">
        <v>-5.7</v>
      </c>
      <c r="M495" s="68">
        <f t="shared" si="7"/>
        <v>544.42999999999995</v>
      </c>
    </row>
    <row r="496" spans="1:13" x14ac:dyDescent="0.25">
      <c r="A496" s="70">
        <v>2164</v>
      </c>
      <c r="B496" s="70" t="s">
        <v>229</v>
      </c>
      <c r="C496" s="70">
        <v>0</v>
      </c>
      <c r="D496" s="70" t="s">
        <v>1606</v>
      </c>
      <c r="E496" s="70">
        <v>0</v>
      </c>
      <c r="F496" s="70"/>
      <c r="G496" s="70">
        <v>-556.95000000000005</v>
      </c>
      <c r="H496" s="70">
        <v>-10.86</v>
      </c>
      <c r="I496" s="70">
        <v>-4.3499999999999996</v>
      </c>
      <c r="J496" s="70">
        <v>0.33</v>
      </c>
      <c r="K496" s="70">
        <v>-11.81</v>
      </c>
      <c r="L496" s="70">
        <v>-5.0599999999999996</v>
      </c>
      <c r="M496" s="68">
        <f t="shared" si="7"/>
        <v>556.95000000000005</v>
      </c>
    </row>
    <row r="497" spans="1:13" x14ac:dyDescent="0.25">
      <c r="A497" s="70">
        <v>2098</v>
      </c>
      <c r="B497" s="70" t="s">
        <v>229</v>
      </c>
      <c r="C497" s="70">
        <v>0</v>
      </c>
      <c r="D497" s="70" t="s">
        <v>1541</v>
      </c>
      <c r="E497" s="70">
        <v>4</v>
      </c>
      <c r="F497" s="70"/>
      <c r="G497" s="70">
        <v>-50.24</v>
      </c>
      <c r="H497" s="70">
        <v>-8.24</v>
      </c>
      <c r="I497" s="70">
        <v>-4.46</v>
      </c>
      <c r="J497" s="70">
        <v>-0.56999999999999995</v>
      </c>
      <c r="K497" s="70">
        <v>-2.5</v>
      </c>
      <c r="L497" s="70">
        <v>4.24</v>
      </c>
      <c r="M497" s="68">
        <f t="shared" si="7"/>
        <v>50.24</v>
      </c>
    </row>
    <row r="498" spans="1:13" x14ac:dyDescent="0.25">
      <c r="A498" s="70">
        <v>2555</v>
      </c>
      <c r="B498" s="70" t="s">
        <v>229</v>
      </c>
      <c r="C498" s="70">
        <v>0</v>
      </c>
      <c r="D498" s="70" t="s">
        <v>1997</v>
      </c>
      <c r="E498" s="70">
        <v>4</v>
      </c>
      <c r="F498" s="70"/>
      <c r="G498" s="70">
        <v>69.45</v>
      </c>
      <c r="H498" s="70">
        <v>1.1200000000000001</v>
      </c>
      <c r="I498" s="70">
        <v>-4.59</v>
      </c>
      <c r="J498" s="70">
        <v>0.06</v>
      </c>
      <c r="K498" s="70">
        <v>9.01</v>
      </c>
      <c r="L498" s="70">
        <v>-0.6</v>
      </c>
      <c r="M498" s="68">
        <f t="shared" si="7"/>
        <v>-69.45</v>
      </c>
    </row>
    <row r="499" spans="1:13" x14ac:dyDescent="0.25">
      <c r="A499" s="70">
        <v>2006</v>
      </c>
      <c r="B499" s="70" t="s">
        <v>229</v>
      </c>
      <c r="C499" s="70">
        <v>0</v>
      </c>
      <c r="D499" s="70" t="s">
        <v>1426</v>
      </c>
      <c r="E499" s="70">
        <v>0</v>
      </c>
      <c r="F499" s="70"/>
      <c r="G499" s="70">
        <v>350.77</v>
      </c>
      <c r="H499" s="70">
        <v>7.18</v>
      </c>
      <c r="I499" s="70">
        <v>-4.6100000000000003</v>
      </c>
      <c r="J499" s="70">
        <v>0.27</v>
      </c>
      <c r="K499" s="70">
        <v>4.24</v>
      </c>
      <c r="L499" s="70">
        <v>3.14</v>
      </c>
      <c r="M499" s="68">
        <f t="shared" si="7"/>
        <v>-350.77</v>
      </c>
    </row>
    <row r="500" spans="1:13" x14ac:dyDescent="0.25">
      <c r="A500" s="70">
        <v>2282</v>
      </c>
      <c r="B500" s="70" t="s">
        <v>229</v>
      </c>
      <c r="C500" s="70">
        <v>0</v>
      </c>
      <c r="D500" s="70" t="s">
        <v>1714</v>
      </c>
      <c r="E500" s="70">
        <v>0</v>
      </c>
      <c r="F500" s="70"/>
      <c r="G500" s="70">
        <v>351.18</v>
      </c>
      <c r="H500" s="70">
        <v>-7.16</v>
      </c>
      <c r="I500" s="70">
        <v>-4.6100000000000003</v>
      </c>
      <c r="J500" s="70">
        <v>-0.27</v>
      </c>
      <c r="K500" s="70">
        <v>4.24</v>
      </c>
      <c r="L500" s="70">
        <v>-3.14</v>
      </c>
      <c r="M500" s="68">
        <f t="shared" si="7"/>
        <v>-351.18</v>
      </c>
    </row>
    <row r="501" spans="1:13" x14ac:dyDescent="0.25">
      <c r="A501" s="70">
        <v>2083</v>
      </c>
      <c r="B501" s="70" t="s">
        <v>229</v>
      </c>
      <c r="C501" s="70">
        <v>0</v>
      </c>
      <c r="D501" s="70" t="s">
        <v>1514</v>
      </c>
      <c r="E501" s="70">
        <v>0</v>
      </c>
      <c r="F501" s="70"/>
      <c r="G501" s="70">
        <v>-411.58</v>
      </c>
      <c r="H501" s="70">
        <v>-9.84</v>
      </c>
      <c r="I501" s="70">
        <v>-4.6500000000000004</v>
      </c>
      <c r="J501" s="70">
        <v>-0.4</v>
      </c>
      <c r="K501" s="70">
        <v>-12.43</v>
      </c>
      <c r="L501" s="70">
        <v>-5.21</v>
      </c>
      <c r="M501" s="68">
        <f t="shared" si="7"/>
        <v>411.58</v>
      </c>
    </row>
    <row r="502" spans="1:13" x14ac:dyDescent="0.25">
      <c r="A502" s="70">
        <v>2221</v>
      </c>
      <c r="B502" s="70" t="s">
        <v>229</v>
      </c>
      <c r="C502" s="70">
        <v>0</v>
      </c>
      <c r="D502" s="70" t="s">
        <v>1658</v>
      </c>
      <c r="E502" s="70">
        <v>0</v>
      </c>
      <c r="F502" s="70"/>
      <c r="G502" s="70">
        <v>-412.69</v>
      </c>
      <c r="H502" s="70">
        <v>-9.82</v>
      </c>
      <c r="I502" s="70">
        <v>-4.6500000000000004</v>
      </c>
      <c r="J502" s="70">
        <v>-0.4</v>
      </c>
      <c r="K502" s="70">
        <v>-12.33</v>
      </c>
      <c r="L502" s="70">
        <v>-5.2</v>
      </c>
      <c r="M502" s="68">
        <f t="shared" si="7"/>
        <v>412.69</v>
      </c>
    </row>
    <row r="503" spans="1:13" x14ac:dyDescent="0.25">
      <c r="A503" s="70">
        <v>2148</v>
      </c>
      <c r="B503" s="70" t="s">
        <v>229</v>
      </c>
      <c r="C503" s="70">
        <v>0</v>
      </c>
      <c r="D503" s="70" t="s">
        <v>1578</v>
      </c>
      <c r="E503" s="70">
        <v>0</v>
      </c>
      <c r="F503" s="70"/>
      <c r="G503" s="70">
        <v>326.52</v>
      </c>
      <c r="H503" s="70">
        <v>-7.37</v>
      </c>
      <c r="I503" s="70">
        <v>-4.7</v>
      </c>
      <c r="J503" s="70">
        <v>-0.56000000000000005</v>
      </c>
      <c r="K503" s="70">
        <v>7.78</v>
      </c>
      <c r="L503" s="70">
        <v>-3.55</v>
      </c>
      <c r="M503" s="68">
        <f t="shared" si="7"/>
        <v>-326.52</v>
      </c>
    </row>
    <row r="504" spans="1:13" x14ac:dyDescent="0.25">
      <c r="A504" s="70">
        <v>2520</v>
      </c>
      <c r="B504" s="70" t="s">
        <v>229</v>
      </c>
      <c r="C504" s="70">
        <v>0</v>
      </c>
      <c r="D504" s="70" t="s">
        <v>1989</v>
      </c>
      <c r="E504" s="70">
        <v>4</v>
      </c>
      <c r="F504" s="70"/>
      <c r="G504" s="70">
        <v>140.84</v>
      </c>
      <c r="H504" s="70">
        <v>-1.4</v>
      </c>
      <c r="I504" s="70">
        <v>-4.74</v>
      </c>
      <c r="J504" s="70">
        <v>7.0000000000000007E-2</v>
      </c>
      <c r="K504" s="70">
        <v>9.27</v>
      </c>
      <c r="L504" s="70">
        <v>0.65</v>
      </c>
      <c r="M504" s="68">
        <f t="shared" si="7"/>
        <v>-140.84</v>
      </c>
    </row>
    <row r="505" spans="1:13" x14ac:dyDescent="0.25">
      <c r="A505" s="70">
        <v>2141</v>
      </c>
      <c r="B505" s="70" t="s">
        <v>229</v>
      </c>
      <c r="C505" s="70">
        <v>0</v>
      </c>
      <c r="D505" s="70" t="s">
        <v>1565</v>
      </c>
      <c r="E505" s="70">
        <v>4</v>
      </c>
      <c r="F505" s="70"/>
      <c r="G505" s="70">
        <v>127.14</v>
      </c>
      <c r="H505" s="70">
        <v>4.67</v>
      </c>
      <c r="I505" s="70">
        <v>-4.76</v>
      </c>
      <c r="J505" s="70">
        <v>0.17</v>
      </c>
      <c r="K505" s="70">
        <v>17.100000000000001</v>
      </c>
      <c r="L505" s="70">
        <v>-2.72</v>
      </c>
      <c r="M505" s="68">
        <f t="shared" si="7"/>
        <v>-127.14</v>
      </c>
    </row>
    <row r="506" spans="1:13" x14ac:dyDescent="0.25">
      <c r="A506" s="70">
        <v>53</v>
      </c>
      <c r="B506" s="70" t="s">
        <v>229</v>
      </c>
      <c r="C506" s="70">
        <v>0</v>
      </c>
      <c r="D506" s="70" t="s">
        <v>1133</v>
      </c>
      <c r="E506" s="70">
        <v>4</v>
      </c>
      <c r="F506" s="70"/>
      <c r="G506" s="70">
        <v>69.09</v>
      </c>
      <c r="H506" s="70">
        <v>1.1200000000000001</v>
      </c>
      <c r="I506" s="70">
        <v>-4.83</v>
      </c>
      <c r="J506" s="70">
        <v>0.06</v>
      </c>
      <c r="K506" s="70">
        <v>8.98</v>
      </c>
      <c r="L506" s="70">
        <v>-0.6</v>
      </c>
      <c r="M506" s="68">
        <f t="shared" si="7"/>
        <v>-69.09</v>
      </c>
    </row>
    <row r="507" spans="1:13" x14ac:dyDescent="0.25">
      <c r="A507" s="70">
        <v>16</v>
      </c>
      <c r="B507" s="70" t="s">
        <v>229</v>
      </c>
      <c r="C507" s="70">
        <v>0</v>
      </c>
      <c r="D507" s="70" t="s">
        <v>1125</v>
      </c>
      <c r="E507" s="70">
        <v>4</v>
      </c>
      <c r="F507" s="70"/>
      <c r="G507" s="70">
        <v>141.01</v>
      </c>
      <c r="H507" s="70">
        <v>-1.41</v>
      </c>
      <c r="I507" s="70">
        <v>-4.8899999999999997</v>
      </c>
      <c r="J507" s="70">
        <v>7.0000000000000007E-2</v>
      </c>
      <c r="K507" s="70">
        <v>9.23</v>
      </c>
      <c r="L507" s="70">
        <v>0.66</v>
      </c>
      <c r="M507" s="68">
        <f t="shared" si="7"/>
        <v>-141.01</v>
      </c>
    </row>
    <row r="508" spans="1:13" x14ac:dyDescent="0.25">
      <c r="A508" s="70">
        <v>1964</v>
      </c>
      <c r="B508" s="70" t="s">
        <v>229</v>
      </c>
      <c r="C508" s="70">
        <v>0</v>
      </c>
      <c r="D508" s="70" t="s">
        <v>1404</v>
      </c>
      <c r="E508" s="70">
        <v>0</v>
      </c>
      <c r="F508" s="70"/>
      <c r="G508" s="70">
        <v>416.19</v>
      </c>
      <c r="H508" s="70">
        <v>-7.39</v>
      </c>
      <c r="I508" s="70">
        <v>-5.04</v>
      </c>
      <c r="J508" s="70">
        <v>-0.41</v>
      </c>
      <c r="K508" s="70">
        <v>8.4499999999999993</v>
      </c>
      <c r="L508" s="70">
        <v>-4.0199999999999996</v>
      </c>
      <c r="M508" s="68">
        <f t="shared" si="7"/>
        <v>-416.19</v>
      </c>
    </row>
    <row r="509" spans="1:13" x14ac:dyDescent="0.25">
      <c r="A509" s="70">
        <v>2106</v>
      </c>
      <c r="B509" s="70" t="s">
        <v>229</v>
      </c>
      <c r="C509" s="70">
        <v>0</v>
      </c>
      <c r="D509" s="70" t="s">
        <v>1557</v>
      </c>
      <c r="E509" s="70">
        <v>4</v>
      </c>
      <c r="F509" s="70"/>
      <c r="G509" s="70">
        <v>270.81</v>
      </c>
      <c r="H509" s="70">
        <v>-5.86</v>
      </c>
      <c r="I509" s="70">
        <v>-5.05</v>
      </c>
      <c r="J509" s="70">
        <v>0.19</v>
      </c>
      <c r="K509" s="70">
        <v>17.86</v>
      </c>
      <c r="L509" s="70">
        <v>2.58</v>
      </c>
      <c r="M509" s="68">
        <f t="shared" si="7"/>
        <v>-270.81</v>
      </c>
    </row>
    <row r="510" spans="1:13" x14ac:dyDescent="0.25">
      <c r="A510" s="70">
        <v>2072</v>
      </c>
      <c r="B510" s="70" t="s">
        <v>229</v>
      </c>
      <c r="C510" s="70">
        <v>0</v>
      </c>
      <c r="D510" s="70" t="s">
        <v>1493</v>
      </c>
      <c r="E510" s="70">
        <v>4</v>
      </c>
      <c r="F510" s="70"/>
      <c r="G510" s="70">
        <v>128.83000000000001</v>
      </c>
      <c r="H510" s="70">
        <v>4.67</v>
      </c>
      <c r="I510" s="70">
        <v>-5.13</v>
      </c>
      <c r="J510" s="70">
        <v>0.17</v>
      </c>
      <c r="K510" s="70">
        <v>17.25</v>
      </c>
      <c r="L510" s="70">
        <v>-2.72</v>
      </c>
      <c r="M510" s="68">
        <f t="shared" si="7"/>
        <v>-128.83000000000001</v>
      </c>
    </row>
    <row r="511" spans="1:13" x14ac:dyDescent="0.25">
      <c r="A511" s="70">
        <v>2210</v>
      </c>
      <c r="B511" s="70" t="s">
        <v>229</v>
      </c>
      <c r="C511" s="70">
        <v>0</v>
      </c>
      <c r="D511" s="70" t="s">
        <v>1637</v>
      </c>
      <c r="E511" s="70">
        <v>4</v>
      </c>
      <c r="F511" s="70"/>
      <c r="G511" s="70">
        <v>129.03</v>
      </c>
      <c r="H511" s="70">
        <v>4.67</v>
      </c>
      <c r="I511" s="70">
        <v>-5.14</v>
      </c>
      <c r="J511" s="70">
        <v>0.17</v>
      </c>
      <c r="K511" s="70">
        <v>17.260000000000002</v>
      </c>
      <c r="L511" s="70">
        <v>-2.71</v>
      </c>
      <c r="M511" s="68">
        <f t="shared" si="7"/>
        <v>-129.03</v>
      </c>
    </row>
    <row r="512" spans="1:13" x14ac:dyDescent="0.25">
      <c r="A512" s="70">
        <v>2240</v>
      </c>
      <c r="B512" s="70" t="s">
        <v>229</v>
      </c>
      <c r="C512" s="70">
        <v>0</v>
      </c>
      <c r="D512" s="70" t="s">
        <v>1692</v>
      </c>
      <c r="E512" s="70">
        <v>0</v>
      </c>
      <c r="F512" s="70"/>
      <c r="G512" s="70">
        <v>415.66</v>
      </c>
      <c r="H512" s="70">
        <v>-7.36</v>
      </c>
      <c r="I512" s="70">
        <v>-5.16</v>
      </c>
      <c r="J512" s="70">
        <v>-0.41</v>
      </c>
      <c r="K512" s="70">
        <v>8.41</v>
      </c>
      <c r="L512" s="70">
        <v>-4</v>
      </c>
      <c r="M512" s="68">
        <f t="shared" si="7"/>
        <v>-415.66</v>
      </c>
    </row>
    <row r="513" spans="1:13" x14ac:dyDescent="0.25">
      <c r="A513" s="70">
        <v>2032</v>
      </c>
      <c r="B513" s="70" t="s">
        <v>229</v>
      </c>
      <c r="C513" s="70">
        <v>0</v>
      </c>
      <c r="D513" s="70" t="s">
        <v>1474</v>
      </c>
      <c r="E513" s="70">
        <v>0</v>
      </c>
      <c r="F513" s="70"/>
      <c r="G513" s="70">
        <v>398.73</v>
      </c>
      <c r="H513" s="70">
        <v>-7.38</v>
      </c>
      <c r="I513" s="70">
        <v>-5.26</v>
      </c>
      <c r="J513" s="70">
        <v>-0.49</v>
      </c>
      <c r="K513" s="70">
        <v>9.35</v>
      </c>
      <c r="L513" s="70">
        <v>-3.92</v>
      </c>
      <c r="M513" s="68">
        <f t="shared" si="7"/>
        <v>-398.73</v>
      </c>
    </row>
    <row r="514" spans="1:13" x14ac:dyDescent="0.25">
      <c r="A514" s="70">
        <v>2037</v>
      </c>
      <c r="B514" s="70" t="s">
        <v>229</v>
      </c>
      <c r="C514" s="70">
        <v>0</v>
      </c>
      <c r="D514" s="70" t="s">
        <v>1485</v>
      </c>
      <c r="E514" s="70">
        <v>4</v>
      </c>
      <c r="F514" s="70"/>
      <c r="G514" s="70">
        <v>272.7</v>
      </c>
      <c r="H514" s="70">
        <v>-5.86</v>
      </c>
      <c r="I514" s="70">
        <v>-5.27</v>
      </c>
      <c r="J514" s="70">
        <v>0.19</v>
      </c>
      <c r="K514" s="70">
        <v>17.96</v>
      </c>
      <c r="L514" s="70">
        <v>2.58</v>
      </c>
      <c r="M514" s="68">
        <f t="shared" ref="M514:M577" si="8">G514*-1</f>
        <v>-272.7</v>
      </c>
    </row>
    <row r="515" spans="1:13" x14ac:dyDescent="0.25">
      <c r="A515" s="70">
        <v>2096</v>
      </c>
      <c r="B515" s="70" t="s">
        <v>229</v>
      </c>
      <c r="C515" s="70">
        <v>0</v>
      </c>
      <c r="D515" s="70" t="s">
        <v>1536</v>
      </c>
      <c r="E515" s="70">
        <v>0</v>
      </c>
      <c r="F515" s="70"/>
      <c r="G515" s="70">
        <v>-413.6</v>
      </c>
      <c r="H515" s="70">
        <v>-9.84</v>
      </c>
      <c r="I515" s="70">
        <v>-5.27</v>
      </c>
      <c r="J515" s="70">
        <v>-0.41</v>
      </c>
      <c r="K515" s="70">
        <v>-12.79</v>
      </c>
      <c r="L515" s="70">
        <v>-4.58</v>
      </c>
      <c r="M515" s="68">
        <f t="shared" si="8"/>
        <v>413.6</v>
      </c>
    </row>
    <row r="516" spans="1:13" x14ac:dyDescent="0.25">
      <c r="A516" s="70">
        <v>2155</v>
      </c>
      <c r="B516" s="70" t="s">
        <v>229</v>
      </c>
      <c r="C516" s="70">
        <v>0</v>
      </c>
      <c r="D516" s="70" t="s">
        <v>1593</v>
      </c>
      <c r="E516" s="70">
        <v>4</v>
      </c>
      <c r="F516" s="70"/>
      <c r="G516" s="70">
        <v>-739.05</v>
      </c>
      <c r="H516" s="70">
        <v>-10.59</v>
      </c>
      <c r="I516" s="70">
        <v>-5.27</v>
      </c>
      <c r="J516" s="70">
        <v>0.3</v>
      </c>
      <c r="K516" s="70">
        <v>-5.65</v>
      </c>
      <c r="L516" s="70">
        <v>5.18</v>
      </c>
      <c r="M516" s="68">
        <f t="shared" si="8"/>
        <v>739.05</v>
      </c>
    </row>
    <row r="517" spans="1:13" x14ac:dyDescent="0.25">
      <c r="A517" s="70">
        <v>1965</v>
      </c>
      <c r="B517" s="70" t="s">
        <v>229</v>
      </c>
      <c r="C517" s="70">
        <v>0</v>
      </c>
      <c r="D517" s="70" t="s">
        <v>1406</v>
      </c>
      <c r="E517" s="70">
        <v>0</v>
      </c>
      <c r="F517" s="70"/>
      <c r="G517" s="70">
        <v>392.26</v>
      </c>
      <c r="H517" s="70">
        <v>-7.34</v>
      </c>
      <c r="I517" s="70">
        <v>-5.28</v>
      </c>
      <c r="J517" s="70">
        <v>-0.33</v>
      </c>
      <c r="K517" s="70">
        <v>4.84</v>
      </c>
      <c r="L517" s="70">
        <v>-4.0599999999999996</v>
      </c>
      <c r="M517" s="68">
        <f t="shared" si="8"/>
        <v>-392.26</v>
      </c>
    </row>
    <row r="518" spans="1:13" x14ac:dyDescent="0.25">
      <c r="A518" s="70">
        <v>2558</v>
      </c>
      <c r="B518" s="70" t="s">
        <v>229</v>
      </c>
      <c r="C518" s="70">
        <v>0</v>
      </c>
      <c r="D518" s="70" t="s">
        <v>2002</v>
      </c>
      <c r="E518" s="70">
        <v>0</v>
      </c>
      <c r="F518" s="70"/>
      <c r="G518" s="70">
        <v>179.01</v>
      </c>
      <c r="H518" s="70">
        <v>-1.72</v>
      </c>
      <c r="I518" s="70">
        <v>-5.28</v>
      </c>
      <c r="J518" s="70">
        <v>-0.09</v>
      </c>
      <c r="K518" s="70">
        <v>3.54</v>
      </c>
      <c r="L518" s="70">
        <v>-0.8</v>
      </c>
      <c r="M518" s="68">
        <f t="shared" si="8"/>
        <v>-179.01</v>
      </c>
    </row>
    <row r="519" spans="1:13" x14ac:dyDescent="0.25">
      <c r="A519" s="70">
        <v>56</v>
      </c>
      <c r="B519" s="70" t="s">
        <v>229</v>
      </c>
      <c r="C519" s="70">
        <v>0</v>
      </c>
      <c r="D519" s="70" t="s">
        <v>1138</v>
      </c>
      <c r="E519" s="70">
        <v>0</v>
      </c>
      <c r="F519" s="70"/>
      <c r="G519" s="70">
        <v>178.76</v>
      </c>
      <c r="H519" s="70">
        <v>1.72</v>
      </c>
      <c r="I519" s="70">
        <v>-5.29</v>
      </c>
      <c r="J519" s="70">
        <v>0.09</v>
      </c>
      <c r="K519" s="70">
        <v>3.54</v>
      </c>
      <c r="L519" s="70">
        <v>0.8</v>
      </c>
      <c r="M519" s="68">
        <f t="shared" si="8"/>
        <v>-178.76</v>
      </c>
    </row>
    <row r="520" spans="1:13" x14ac:dyDescent="0.25">
      <c r="A520" s="70">
        <v>4</v>
      </c>
      <c r="B520" s="70" t="s">
        <v>229</v>
      </c>
      <c r="C520" s="70">
        <v>0</v>
      </c>
      <c r="D520" s="70" t="s">
        <v>1100</v>
      </c>
      <c r="E520" s="70">
        <v>0</v>
      </c>
      <c r="F520" s="70"/>
      <c r="G520" s="70">
        <v>-348.3</v>
      </c>
      <c r="H520" s="70">
        <v>2.71</v>
      </c>
      <c r="I520" s="70">
        <v>-5.31</v>
      </c>
      <c r="J520" s="70">
        <v>0.11</v>
      </c>
      <c r="K520" s="70">
        <v>-6.35</v>
      </c>
      <c r="L520" s="70">
        <v>1.32</v>
      </c>
      <c r="M520" s="68">
        <f t="shared" si="8"/>
        <v>348.3</v>
      </c>
    </row>
    <row r="521" spans="1:13" x14ac:dyDescent="0.25">
      <c r="A521" s="70">
        <v>2175</v>
      </c>
      <c r="B521" s="70" t="s">
        <v>229</v>
      </c>
      <c r="C521" s="70">
        <v>0</v>
      </c>
      <c r="D521" s="70" t="s">
        <v>1629</v>
      </c>
      <c r="E521" s="70">
        <v>4</v>
      </c>
      <c r="F521" s="70"/>
      <c r="G521" s="70">
        <v>272.38</v>
      </c>
      <c r="H521" s="70">
        <v>-5.85</v>
      </c>
      <c r="I521" s="70">
        <v>-5.31</v>
      </c>
      <c r="J521" s="70">
        <v>0.19</v>
      </c>
      <c r="K521" s="70">
        <v>17.97</v>
      </c>
      <c r="L521" s="70">
        <v>2.58</v>
      </c>
      <c r="M521" s="68">
        <f t="shared" si="8"/>
        <v>-272.38</v>
      </c>
    </row>
    <row r="522" spans="1:13" x14ac:dyDescent="0.25">
      <c r="A522" s="70">
        <v>2519</v>
      </c>
      <c r="B522" s="70" t="s">
        <v>229</v>
      </c>
      <c r="C522" s="70">
        <v>0</v>
      </c>
      <c r="D522" s="70" t="s">
        <v>1987</v>
      </c>
      <c r="E522" s="70">
        <v>4</v>
      </c>
      <c r="F522" s="70"/>
      <c r="G522" s="70">
        <v>165.91</v>
      </c>
      <c r="H522" s="70">
        <v>-1.61</v>
      </c>
      <c r="I522" s="70">
        <v>-5.33</v>
      </c>
      <c r="J522" s="70">
        <v>0.08</v>
      </c>
      <c r="K522" s="70">
        <v>6.23</v>
      </c>
      <c r="L522" s="70">
        <v>0.76</v>
      </c>
      <c r="M522" s="68">
        <f t="shared" si="8"/>
        <v>-165.91</v>
      </c>
    </row>
    <row r="523" spans="1:13" x14ac:dyDescent="0.25">
      <c r="A523" s="70">
        <v>2170</v>
      </c>
      <c r="B523" s="70" t="s">
        <v>229</v>
      </c>
      <c r="C523" s="70">
        <v>0</v>
      </c>
      <c r="D523" s="70" t="s">
        <v>1618</v>
      </c>
      <c r="E523" s="70">
        <v>0</v>
      </c>
      <c r="F523" s="70"/>
      <c r="G523" s="70">
        <v>398.19</v>
      </c>
      <c r="H523" s="70">
        <v>-7.37</v>
      </c>
      <c r="I523" s="70">
        <v>-5.34</v>
      </c>
      <c r="J523" s="70">
        <v>-0.49</v>
      </c>
      <c r="K523" s="70">
        <v>9.32</v>
      </c>
      <c r="L523" s="70">
        <v>-3.92</v>
      </c>
      <c r="M523" s="68">
        <f t="shared" si="8"/>
        <v>-398.19</v>
      </c>
    </row>
    <row r="524" spans="1:13" x14ac:dyDescent="0.25">
      <c r="A524" s="70">
        <v>2241</v>
      </c>
      <c r="B524" s="70" t="s">
        <v>229</v>
      </c>
      <c r="C524" s="70">
        <v>0</v>
      </c>
      <c r="D524" s="70" t="s">
        <v>1694</v>
      </c>
      <c r="E524" s="70">
        <v>0</v>
      </c>
      <c r="F524" s="70"/>
      <c r="G524" s="70">
        <v>391.78</v>
      </c>
      <c r="H524" s="70">
        <v>-7.31</v>
      </c>
      <c r="I524" s="70">
        <v>-5.35</v>
      </c>
      <c r="J524" s="70">
        <v>-0.33</v>
      </c>
      <c r="K524" s="70">
        <v>4.79</v>
      </c>
      <c r="L524" s="70">
        <v>-4.04</v>
      </c>
      <c r="M524" s="68">
        <f t="shared" si="8"/>
        <v>-391.78</v>
      </c>
    </row>
    <row r="525" spans="1:13" x14ac:dyDescent="0.25">
      <c r="A525" s="70">
        <v>15</v>
      </c>
      <c r="B525" s="70" t="s">
        <v>229</v>
      </c>
      <c r="C525" s="70">
        <v>0</v>
      </c>
      <c r="D525" s="70" t="s">
        <v>1123</v>
      </c>
      <c r="E525" s="70">
        <v>4</v>
      </c>
      <c r="F525" s="70"/>
      <c r="G525" s="70">
        <v>166.11</v>
      </c>
      <c r="H525" s="70">
        <v>-1.62</v>
      </c>
      <c r="I525" s="70">
        <v>-5.42</v>
      </c>
      <c r="J525" s="70">
        <v>0.08</v>
      </c>
      <c r="K525" s="70">
        <v>6.3</v>
      </c>
      <c r="L525" s="70">
        <v>0.76</v>
      </c>
      <c r="M525" s="68">
        <f t="shared" si="8"/>
        <v>-166.11</v>
      </c>
    </row>
    <row r="526" spans="1:13" x14ac:dyDescent="0.25">
      <c r="A526" s="70">
        <v>2301</v>
      </c>
      <c r="B526" s="70" t="s">
        <v>229</v>
      </c>
      <c r="C526" s="70">
        <v>0</v>
      </c>
      <c r="D526" s="70" t="s">
        <v>1748</v>
      </c>
      <c r="E526" s="70">
        <v>0</v>
      </c>
      <c r="F526" s="70"/>
      <c r="G526" s="70">
        <v>-677.94</v>
      </c>
      <c r="H526" s="70">
        <v>-11.33</v>
      </c>
      <c r="I526" s="70">
        <v>-5.45</v>
      </c>
      <c r="J526" s="70">
        <v>0.3</v>
      </c>
      <c r="K526" s="70">
        <v>-10.19</v>
      </c>
      <c r="L526" s="70">
        <v>-5.39</v>
      </c>
      <c r="M526" s="68">
        <f t="shared" si="8"/>
        <v>677.94</v>
      </c>
    </row>
    <row r="527" spans="1:13" x14ac:dyDescent="0.25">
      <c r="A527" s="70">
        <v>2105</v>
      </c>
      <c r="B527" s="70" t="s">
        <v>229</v>
      </c>
      <c r="C527" s="70">
        <v>0</v>
      </c>
      <c r="D527" s="70" t="s">
        <v>1555</v>
      </c>
      <c r="E527" s="70">
        <v>4</v>
      </c>
      <c r="F527" s="70"/>
      <c r="G527" s="70">
        <v>321.31</v>
      </c>
      <c r="H527" s="70">
        <v>-6.75</v>
      </c>
      <c r="I527" s="70">
        <v>-5.46</v>
      </c>
      <c r="J527" s="70">
        <v>0.23</v>
      </c>
      <c r="K527" s="70">
        <v>11.22</v>
      </c>
      <c r="L527" s="70">
        <v>2.99</v>
      </c>
      <c r="M527" s="68">
        <f t="shared" si="8"/>
        <v>-321.31</v>
      </c>
    </row>
    <row r="528" spans="1:13" x14ac:dyDescent="0.25">
      <c r="A528" s="70">
        <v>2222</v>
      </c>
      <c r="B528" s="70" t="s">
        <v>229</v>
      </c>
      <c r="C528" s="70">
        <v>0</v>
      </c>
      <c r="D528" s="70" t="s">
        <v>1660</v>
      </c>
      <c r="E528" s="70">
        <v>0</v>
      </c>
      <c r="F528" s="70"/>
      <c r="G528" s="70">
        <v>-549.62</v>
      </c>
      <c r="H528" s="70">
        <v>-10.84</v>
      </c>
      <c r="I528" s="70">
        <v>-5.53</v>
      </c>
      <c r="J528" s="70">
        <v>0.33</v>
      </c>
      <c r="K528" s="70">
        <v>-12.94</v>
      </c>
      <c r="L528" s="70">
        <v>-5.7</v>
      </c>
      <c r="M528" s="68">
        <f t="shared" si="8"/>
        <v>549.62</v>
      </c>
    </row>
    <row r="529" spans="1:13" x14ac:dyDescent="0.25">
      <c r="A529" s="70">
        <v>2569</v>
      </c>
      <c r="B529" s="70" t="s">
        <v>229</v>
      </c>
      <c r="C529" s="70">
        <v>0</v>
      </c>
      <c r="D529" s="70" t="s">
        <v>2025</v>
      </c>
      <c r="E529" s="70">
        <v>4</v>
      </c>
      <c r="F529" s="70"/>
      <c r="G529" s="70">
        <v>-392.39</v>
      </c>
      <c r="H529" s="70">
        <v>2.54</v>
      </c>
      <c r="I529" s="70">
        <v>-5.56</v>
      </c>
      <c r="J529" s="70">
        <v>0.1</v>
      </c>
      <c r="K529" s="70">
        <v>-4.6900000000000004</v>
      </c>
      <c r="L529" s="70">
        <v>-1.25</v>
      </c>
      <c r="M529" s="68">
        <f t="shared" si="8"/>
        <v>392.39</v>
      </c>
    </row>
    <row r="530" spans="1:13" x14ac:dyDescent="0.25">
      <c r="A530" s="70">
        <v>2036</v>
      </c>
      <c r="B530" s="70" t="s">
        <v>229</v>
      </c>
      <c r="C530" s="70">
        <v>0</v>
      </c>
      <c r="D530" s="70" t="s">
        <v>1483</v>
      </c>
      <c r="E530" s="70">
        <v>4</v>
      </c>
      <c r="F530" s="70"/>
      <c r="G530" s="70">
        <v>323.17</v>
      </c>
      <c r="H530" s="70">
        <v>-6.76</v>
      </c>
      <c r="I530" s="70">
        <v>-5.58</v>
      </c>
      <c r="J530" s="70">
        <v>0.23</v>
      </c>
      <c r="K530" s="70">
        <v>11.27</v>
      </c>
      <c r="L530" s="70">
        <v>2.99</v>
      </c>
      <c r="M530" s="68">
        <f t="shared" si="8"/>
        <v>-323.17</v>
      </c>
    </row>
    <row r="531" spans="1:13" x14ac:dyDescent="0.25">
      <c r="A531" s="70">
        <v>2084</v>
      </c>
      <c r="B531" s="70" t="s">
        <v>229</v>
      </c>
      <c r="C531" s="70">
        <v>0</v>
      </c>
      <c r="D531" s="70" t="s">
        <v>1516</v>
      </c>
      <c r="E531" s="70">
        <v>0</v>
      </c>
      <c r="F531" s="70"/>
      <c r="G531" s="70">
        <v>-549.78</v>
      </c>
      <c r="H531" s="70">
        <v>-10.86</v>
      </c>
      <c r="I531" s="70">
        <v>-5.59</v>
      </c>
      <c r="J531" s="70">
        <v>0.33</v>
      </c>
      <c r="K531" s="70">
        <v>-12.97</v>
      </c>
      <c r="L531" s="70">
        <v>-5.71</v>
      </c>
      <c r="M531" s="68">
        <f t="shared" si="8"/>
        <v>549.78</v>
      </c>
    </row>
    <row r="532" spans="1:13" x14ac:dyDescent="0.25">
      <c r="A532" s="70">
        <v>2147</v>
      </c>
      <c r="B532" s="70" t="s">
        <v>229</v>
      </c>
      <c r="C532" s="70">
        <v>0</v>
      </c>
      <c r="D532" s="70" t="s">
        <v>1576</v>
      </c>
      <c r="E532" s="70">
        <v>0</v>
      </c>
      <c r="F532" s="70"/>
      <c r="G532" s="70">
        <v>404.51</v>
      </c>
      <c r="H532" s="70">
        <v>-7.35</v>
      </c>
      <c r="I532" s="70">
        <v>-5.59</v>
      </c>
      <c r="J532" s="70">
        <v>-0.5</v>
      </c>
      <c r="K532" s="70">
        <v>7.55</v>
      </c>
      <c r="L532" s="70">
        <v>-3.4</v>
      </c>
      <c r="M532" s="68">
        <f t="shared" si="8"/>
        <v>-404.51</v>
      </c>
    </row>
    <row r="533" spans="1:13" x14ac:dyDescent="0.25">
      <c r="A533" s="70">
        <v>2174</v>
      </c>
      <c r="B533" s="70" t="s">
        <v>229</v>
      </c>
      <c r="C533" s="70">
        <v>0</v>
      </c>
      <c r="D533" s="70" t="s">
        <v>1627</v>
      </c>
      <c r="E533" s="70">
        <v>4</v>
      </c>
      <c r="F533" s="70"/>
      <c r="G533" s="70">
        <v>322.77999999999997</v>
      </c>
      <c r="H533" s="70">
        <v>-6.75</v>
      </c>
      <c r="I533" s="70">
        <v>-5.61</v>
      </c>
      <c r="J533" s="70">
        <v>0.23</v>
      </c>
      <c r="K533" s="70">
        <v>11.28</v>
      </c>
      <c r="L533" s="70">
        <v>2.99</v>
      </c>
      <c r="M533" s="68">
        <f t="shared" si="8"/>
        <v>-322.77999999999997</v>
      </c>
    </row>
    <row r="534" spans="1:13" x14ac:dyDescent="0.25">
      <c r="A534" s="70">
        <v>2244</v>
      </c>
      <c r="B534" s="70" t="s">
        <v>229</v>
      </c>
      <c r="C534" s="70">
        <v>0</v>
      </c>
      <c r="D534" s="70" t="s">
        <v>1701</v>
      </c>
      <c r="E534" s="70">
        <v>4</v>
      </c>
      <c r="F534" s="70"/>
      <c r="G534" s="70">
        <v>274.33999999999997</v>
      </c>
      <c r="H534" s="70">
        <v>-5.85</v>
      </c>
      <c r="I534" s="70">
        <v>-5.61</v>
      </c>
      <c r="J534" s="70">
        <v>0.19</v>
      </c>
      <c r="K534" s="70">
        <v>18.09</v>
      </c>
      <c r="L534" s="70">
        <v>2.58</v>
      </c>
      <c r="M534" s="68">
        <f t="shared" si="8"/>
        <v>-274.33999999999997</v>
      </c>
    </row>
    <row r="535" spans="1:13" x14ac:dyDescent="0.25">
      <c r="A535" s="70">
        <v>1887</v>
      </c>
      <c r="B535" s="70" t="s">
        <v>229</v>
      </c>
      <c r="C535" s="70">
        <v>0</v>
      </c>
      <c r="D535" s="70" t="s">
        <v>1316</v>
      </c>
      <c r="E535" s="70">
        <v>0</v>
      </c>
      <c r="F535" s="70"/>
      <c r="G535" s="70">
        <v>-678.24</v>
      </c>
      <c r="H535" s="70">
        <v>-11.29</v>
      </c>
      <c r="I535" s="70">
        <v>-5.63</v>
      </c>
      <c r="J535" s="70">
        <v>0.31</v>
      </c>
      <c r="K535" s="70">
        <v>-10.25</v>
      </c>
      <c r="L535" s="70">
        <v>5.39</v>
      </c>
      <c r="M535" s="68">
        <f t="shared" si="8"/>
        <v>678.24</v>
      </c>
    </row>
    <row r="536" spans="1:13" x14ac:dyDescent="0.25">
      <c r="A536" s="70">
        <v>1968</v>
      </c>
      <c r="B536" s="70" t="s">
        <v>229</v>
      </c>
      <c r="C536" s="70">
        <v>0</v>
      </c>
      <c r="D536" s="70" t="s">
        <v>1413</v>
      </c>
      <c r="E536" s="70">
        <v>4</v>
      </c>
      <c r="F536" s="70"/>
      <c r="G536" s="70">
        <v>274.60000000000002</v>
      </c>
      <c r="H536" s="70">
        <v>-5.86</v>
      </c>
      <c r="I536" s="70">
        <v>-5.73</v>
      </c>
      <c r="J536" s="70">
        <v>0.19</v>
      </c>
      <c r="K536" s="70">
        <v>18.07</v>
      </c>
      <c r="L536" s="70">
        <v>2.58</v>
      </c>
      <c r="M536" s="68">
        <f t="shared" si="8"/>
        <v>-274.60000000000002</v>
      </c>
    </row>
    <row r="537" spans="1:13" x14ac:dyDescent="0.25">
      <c r="A537" s="70">
        <v>2154</v>
      </c>
      <c r="B537" s="70" t="s">
        <v>229</v>
      </c>
      <c r="C537" s="70">
        <v>0</v>
      </c>
      <c r="D537" s="70" t="s">
        <v>1590</v>
      </c>
      <c r="E537" s="70">
        <v>0</v>
      </c>
      <c r="F537" s="70"/>
      <c r="G537" s="70">
        <v>-649.76</v>
      </c>
      <c r="H537" s="70">
        <v>-11.35</v>
      </c>
      <c r="I537" s="70">
        <v>-5.76</v>
      </c>
      <c r="J537" s="70">
        <v>0.31</v>
      </c>
      <c r="K537" s="70">
        <v>-11.34</v>
      </c>
      <c r="L537" s="70">
        <v>-5.89</v>
      </c>
      <c r="M537" s="68">
        <f t="shared" si="8"/>
        <v>649.76</v>
      </c>
    </row>
    <row r="538" spans="1:13" x14ac:dyDescent="0.25">
      <c r="A538" s="70">
        <v>2555</v>
      </c>
      <c r="B538" s="70" t="s">
        <v>229</v>
      </c>
      <c r="C538" s="70">
        <v>0</v>
      </c>
      <c r="D538" s="70" t="s">
        <v>1996</v>
      </c>
      <c r="E538" s="70">
        <v>0</v>
      </c>
      <c r="F538" s="70"/>
      <c r="G538" s="70">
        <v>66.05</v>
      </c>
      <c r="H538" s="70">
        <v>1.1200000000000001</v>
      </c>
      <c r="I538" s="70">
        <v>-5.77</v>
      </c>
      <c r="J538" s="70">
        <v>0.06</v>
      </c>
      <c r="K538" s="70">
        <v>6.13</v>
      </c>
      <c r="L538" s="70">
        <v>0.51</v>
      </c>
      <c r="M538" s="68">
        <f t="shared" si="8"/>
        <v>-66.05</v>
      </c>
    </row>
    <row r="539" spans="1:13" x14ac:dyDescent="0.25">
      <c r="A539" s="70">
        <v>67</v>
      </c>
      <c r="B539" s="70" t="s">
        <v>229</v>
      </c>
      <c r="C539" s="70">
        <v>0</v>
      </c>
      <c r="D539" s="70" t="s">
        <v>1161</v>
      </c>
      <c r="E539" s="70">
        <v>4</v>
      </c>
      <c r="F539" s="70"/>
      <c r="G539" s="70">
        <v>-391.03</v>
      </c>
      <c r="H539" s="70">
        <v>-2.54</v>
      </c>
      <c r="I539" s="70">
        <v>-5.84</v>
      </c>
      <c r="J539" s="70">
        <v>0.1</v>
      </c>
      <c r="K539" s="70">
        <v>-4.63</v>
      </c>
      <c r="L539" s="70">
        <v>1.25</v>
      </c>
      <c r="M539" s="68">
        <f t="shared" si="8"/>
        <v>391.03</v>
      </c>
    </row>
    <row r="540" spans="1:13" x14ac:dyDescent="0.25">
      <c r="A540" s="70">
        <v>2086</v>
      </c>
      <c r="B540" s="70" t="s">
        <v>229</v>
      </c>
      <c r="C540" s="70">
        <v>0</v>
      </c>
      <c r="D540" s="70" t="s">
        <v>1521</v>
      </c>
      <c r="E540" s="70">
        <v>4</v>
      </c>
      <c r="F540" s="70"/>
      <c r="G540" s="70">
        <v>-746.25</v>
      </c>
      <c r="H540" s="70">
        <v>-10.6</v>
      </c>
      <c r="I540" s="70">
        <v>-5.85</v>
      </c>
      <c r="J540" s="70">
        <v>0.3</v>
      </c>
      <c r="K540" s="70">
        <v>-6.06</v>
      </c>
      <c r="L540" s="70">
        <v>5.19</v>
      </c>
      <c r="M540" s="68">
        <f t="shared" si="8"/>
        <v>746.25</v>
      </c>
    </row>
    <row r="541" spans="1:13" x14ac:dyDescent="0.25">
      <c r="A541" s="70">
        <v>2279</v>
      </c>
      <c r="B541" s="70" t="s">
        <v>229</v>
      </c>
      <c r="C541" s="70">
        <v>0</v>
      </c>
      <c r="D541" s="70" t="s">
        <v>1709</v>
      </c>
      <c r="E541" s="70">
        <v>4</v>
      </c>
      <c r="F541" s="70"/>
      <c r="G541" s="70">
        <v>131.02000000000001</v>
      </c>
      <c r="H541" s="70">
        <v>4.66</v>
      </c>
      <c r="I541" s="70">
        <v>-5.92</v>
      </c>
      <c r="J541" s="70">
        <v>0.17</v>
      </c>
      <c r="K541" s="70">
        <v>17.41</v>
      </c>
      <c r="L541" s="70">
        <v>-2.71</v>
      </c>
      <c r="M541" s="68">
        <f t="shared" si="8"/>
        <v>-131.02000000000001</v>
      </c>
    </row>
    <row r="542" spans="1:13" x14ac:dyDescent="0.25">
      <c r="A542" s="70">
        <v>2003</v>
      </c>
      <c r="B542" s="70" t="s">
        <v>229</v>
      </c>
      <c r="C542" s="70">
        <v>0</v>
      </c>
      <c r="D542" s="70" t="s">
        <v>1421</v>
      </c>
      <c r="E542" s="70">
        <v>4</v>
      </c>
      <c r="F542" s="70"/>
      <c r="G542" s="70">
        <v>130.80000000000001</v>
      </c>
      <c r="H542" s="70">
        <v>4.68</v>
      </c>
      <c r="I542" s="70">
        <v>-5.96</v>
      </c>
      <c r="J542" s="70">
        <v>0.17</v>
      </c>
      <c r="K542" s="70">
        <v>17.399999999999999</v>
      </c>
      <c r="L542" s="70">
        <v>-2.72</v>
      </c>
      <c r="M542" s="68">
        <f t="shared" si="8"/>
        <v>-130.80000000000001</v>
      </c>
    </row>
    <row r="543" spans="1:13" x14ac:dyDescent="0.25">
      <c r="A543" s="70">
        <v>53</v>
      </c>
      <c r="B543" s="70" t="s">
        <v>229</v>
      </c>
      <c r="C543" s="70">
        <v>0</v>
      </c>
      <c r="D543" s="70" t="s">
        <v>1132</v>
      </c>
      <c r="E543" s="70">
        <v>0</v>
      </c>
      <c r="F543" s="70"/>
      <c r="G543" s="70">
        <v>65.69</v>
      </c>
      <c r="H543" s="70">
        <v>1.1200000000000001</v>
      </c>
      <c r="I543" s="70">
        <v>-6.01</v>
      </c>
      <c r="J543" s="70">
        <v>0.06</v>
      </c>
      <c r="K543" s="70">
        <v>6.16</v>
      </c>
      <c r="L543" s="70">
        <v>0.52</v>
      </c>
      <c r="M543" s="68">
        <f t="shared" si="8"/>
        <v>-65.69</v>
      </c>
    </row>
    <row r="544" spans="1:13" x14ac:dyDescent="0.25">
      <c r="A544" s="70">
        <v>2104</v>
      </c>
      <c r="B544" s="70" t="s">
        <v>229</v>
      </c>
      <c r="C544" s="70">
        <v>0</v>
      </c>
      <c r="D544" s="70" t="s">
        <v>1552</v>
      </c>
      <c r="E544" s="70">
        <v>0</v>
      </c>
      <c r="F544" s="70"/>
      <c r="G544" s="70">
        <v>355.36</v>
      </c>
      <c r="H544" s="70">
        <v>7.19</v>
      </c>
      <c r="I544" s="70">
        <v>-6.03</v>
      </c>
      <c r="J544" s="70">
        <v>-0.27</v>
      </c>
      <c r="K544" s="70">
        <v>1.88</v>
      </c>
      <c r="L544" s="70">
        <v>4.04</v>
      </c>
      <c r="M544" s="68">
        <f t="shared" si="8"/>
        <v>-355.36</v>
      </c>
    </row>
    <row r="545" spans="1:13" x14ac:dyDescent="0.25">
      <c r="A545" s="70">
        <v>2224</v>
      </c>
      <c r="B545" s="70" t="s">
        <v>229</v>
      </c>
      <c r="C545" s="70">
        <v>0</v>
      </c>
      <c r="D545" s="70" t="s">
        <v>1665</v>
      </c>
      <c r="E545" s="70">
        <v>4</v>
      </c>
      <c r="F545" s="70"/>
      <c r="G545" s="70">
        <v>-746.94</v>
      </c>
      <c r="H545" s="70">
        <v>10.59</v>
      </c>
      <c r="I545" s="70">
        <v>-6.03</v>
      </c>
      <c r="J545" s="70">
        <v>0.3</v>
      </c>
      <c r="K545" s="70">
        <v>-6.06</v>
      </c>
      <c r="L545" s="70">
        <v>5.18</v>
      </c>
      <c r="M545" s="68">
        <f t="shared" si="8"/>
        <v>746.94</v>
      </c>
    </row>
    <row r="546" spans="1:13" x14ac:dyDescent="0.25">
      <c r="A546" s="70">
        <v>2168</v>
      </c>
      <c r="B546" s="70" t="s">
        <v>229</v>
      </c>
      <c r="C546" s="70">
        <v>0</v>
      </c>
      <c r="D546" s="70" t="s">
        <v>1615</v>
      </c>
      <c r="E546" s="70">
        <v>4</v>
      </c>
      <c r="F546" s="70"/>
      <c r="G546" s="70">
        <v>167.8</v>
      </c>
      <c r="H546" s="70">
        <v>-7.66</v>
      </c>
      <c r="I546" s="70">
        <v>-6.09</v>
      </c>
      <c r="J546" s="70">
        <v>-0.59</v>
      </c>
      <c r="K546" s="70">
        <v>7.3</v>
      </c>
      <c r="L546" s="70">
        <v>3.82</v>
      </c>
      <c r="M546" s="68">
        <f t="shared" si="8"/>
        <v>-167.8</v>
      </c>
    </row>
    <row r="547" spans="1:13" x14ac:dyDescent="0.25">
      <c r="A547" s="70">
        <v>2030</v>
      </c>
      <c r="B547" s="70" t="s">
        <v>229</v>
      </c>
      <c r="C547" s="70">
        <v>0</v>
      </c>
      <c r="D547" s="70" t="s">
        <v>1471</v>
      </c>
      <c r="E547" s="70">
        <v>4</v>
      </c>
      <c r="F547" s="70"/>
      <c r="G547" s="70">
        <v>168.09</v>
      </c>
      <c r="H547" s="70">
        <v>-7.66</v>
      </c>
      <c r="I547" s="70">
        <v>-6.12</v>
      </c>
      <c r="J547" s="70">
        <v>-0.59</v>
      </c>
      <c r="K547" s="70">
        <v>7.29</v>
      </c>
      <c r="L547" s="70">
        <v>3.82</v>
      </c>
      <c r="M547" s="68">
        <f t="shared" si="8"/>
        <v>-168.09</v>
      </c>
    </row>
    <row r="548" spans="1:13" x14ac:dyDescent="0.25">
      <c r="A548" s="70">
        <v>2145</v>
      </c>
      <c r="B548" s="70" t="s">
        <v>229</v>
      </c>
      <c r="C548" s="70">
        <v>0</v>
      </c>
      <c r="D548" s="70" t="s">
        <v>1572</v>
      </c>
      <c r="E548" s="70">
        <v>0</v>
      </c>
      <c r="F548" s="70"/>
      <c r="G548" s="70">
        <v>385.05</v>
      </c>
      <c r="H548" s="70">
        <v>-7.32</v>
      </c>
      <c r="I548" s="70">
        <v>-6.12</v>
      </c>
      <c r="J548" s="70">
        <v>-0.34</v>
      </c>
      <c r="K548" s="70">
        <v>1.97</v>
      </c>
      <c r="L548" s="70">
        <v>-3.21</v>
      </c>
      <c r="M548" s="68">
        <f t="shared" si="8"/>
        <v>-385.05</v>
      </c>
    </row>
    <row r="549" spans="1:13" x14ac:dyDescent="0.25">
      <c r="A549" s="70">
        <v>1957</v>
      </c>
      <c r="B549" s="70" t="s">
        <v>229</v>
      </c>
      <c r="C549" s="70">
        <v>0</v>
      </c>
      <c r="D549" s="70" t="s">
        <v>1390</v>
      </c>
      <c r="E549" s="70">
        <v>0</v>
      </c>
      <c r="F549" s="70"/>
      <c r="G549" s="70">
        <v>-562.49</v>
      </c>
      <c r="H549" s="70">
        <v>-10.83</v>
      </c>
      <c r="I549" s="70">
        <v>-6.13</v>
      </c>
      <c r="J549" s="70">
        <v>0.33</v>
      </c>
      <c r="K549" s="70">
        <v>-12.74</v>
      </c>
      <c r="L549" s="70">
        <v>-5.05</v>
      </c>
      <c r="M549" s="68">
        <f t="shared" si="8"/>
        <v>562.49</v>
      </c>
    </row>
    <row r="550" spans="1:13" x14ac:dyDescent="0.25">
      <c r="A550" s="70">
        <v>2233</v>
      </c>
      <c r="B550" s="70" t="s">
        <v>229</v>
      </c>
      <c r="C550" s="70">
        <v>0</v>
      </c>
      <c r="D550" s="70" t="s">
        <v>1678</v>
      </c>
      <c r="E550" s="70">
        <v>0</v>
      </c>
      <c r="F550" s="70"/>
      <c r="G550" s="70">
        <v>-562.41</v>
      </c>
      <c r="H550" s="70">
        <v>-10.86</v>
      </c>
      <c r="I550" s="70">
        <v>-6.14</v>
      </c>
      <c r="J550" s="70">
        <v>0.33</v>
      </c>
      <c r="K550" s="70">
        <v>-12.7</v>
      </c>
      <c r="L550" s="70">
        <v>-5.07</v>
      </c>
      <c r="M550" s="68">
        <f t="shared" si="8"/>
        <v>562.41</v>
      </c>
    </row>
    <row r="551" spans="1:13" x14ac:dyDescent="0.25">
      <c r="A551" s="70">
        <v>2351</v>
      </c>
      <c r="B551" s="70" t="s">
        <v>229</v>
      </c>
      <c r="C551" s="70">
        <v>0</v>
      </c>
      <c r="D551" s="70" t="s">
        <v>1786</v>
      </c>
      <c r="E551" s="70">
        <v>0</v>
      </c>
      <c r="F551" s="70"/>
      <c r="G551" s="70">
        <v>352.96</v>
      </c>
      <c r="H551" s="70">
        <v>-7.16</v>
      </c>
      <c r="I551" s="70">
        <v>-6.19</v>
      </c>
      <c r="J551" s="70">
        <v>-0.27</v>
      </c>
      <c r="K551" s="70">
        <v>4.9800000000000004</v>
      </c>
      <c r="L551" s="70">
        <v>-3.14</v>
      </c>
      <c r="M551" s="68">
        <f t="shared" si="8"/>
        <v>-352.96</v>
      </c>
    </row>
    <row r="552" spans="1:13" x14ac:dyDescent="0.25">
      <c r="A552" s="70">
        <v>1937</v>
      </c>
      <c r="B552" s="70" t="s">
        <v>229</v>
      </c>
      <c r="C552" s="70">
        <v>0</v>
      </c>
      <c r="D552" s="70" t="s">
        <v>1354</v>
      </c>
      <c r="E552" s="70">
        <v>0</v>
      </c>
      <c r="F552" s="70"/>
      <c r="G552" s="70">
        <v>352.58</v>
      </c>
      <c r="H552" s="70">
        <v>7.18</v>
      </c>
      <c r="I552" s="70">
        <v>-6.2</v>
      </c>
      <c r="J552" s="70">
        <v>0.27</v>
      </c>
      <c r="K552" s="70">
        <v>4.99</v>
      </c>
      <c r="L552" s="70">
        <v>3.14</v>
      </c>
      <c r="M552" s="68">
        <f t="shared" si="8"/>
        <v>-352.58</v>
      </c>
    </row>
    <row r="553" spans="1:13" x14ac:dyDescent="0.25">
      <c r="A553" s="70">
        <v>2243</v>
      </c>
      <c r="B553" s="70" t="s">
        <v>229</v>
      </c>
      <c r="C553" s="70">
        <v>0</v>
      </c>
      <c r="D553" s="70" t="s">
        <v>1699</v>
      </c>
      <c r="E553" s="70">
        <v>4</v>
      </c>
      <c r="F553" s="70"/>
      <c r="G553" s="70">
        <v>324.69</v>
      </c>
      <c r="H553" s="70">
        <v>-6.74</v>
      </c>
      <c r="I553" s="70">
        <v>-6.22</v>
      </c>
      <c r="J553" s="70">
        <v>0.23</v>
      </c>
      <c r="K553" s="70">
        <v>11.35</v>
      </c>
      <c r="L553" s="70">
        <v>2.98</v>
      </c>
      <c r="M553" s="68">
        <f t="shared" si="8"/>
        <v>-324.69</v>
      </c>
    </row>
    <row r="554" spans="1:13" x14ac:dyDescent="0.25">
      <c r="A554" s="70">
        <v>13</v>
      </c>
      <c r="B554" s="70" t="s">
        <v>229</v>
      </c>
      <c r="C554" s="70">
        <v>0</v>
      </c>
      <c r="D554" s="70" t="s">
        <v>1118</v>
      </c>
      <c r="E554" s="70">
        <v>0</v>
      </c>
      <c r="F554" s="70"/>
      <c r="G554" s="70">
        <v>199.42</v>
      </c>
      <c r="H554" s="70">
        <v>-1.76</v>
      </c>
      <c r="I554" s="70">
        <v>-6.24</v>
      </c>
      <c r="J554" s="70">
        <v>-0.12</v>
      </c>
      <c r="K554" s="70">
        <v>4.09</v>
      </c>
      <c r="L554" s="70">
        <v>-0.93</v>
      </c>
      <c r="M554" s="68">
        <f t="shared" si="8"/>
        <v>-199.42</v>
      </c>
    </row>
    <row r="555" spans="1:13" x14ac:dyDescent="0.25">
      <c r="A555" s="70">
        <v>2085</v>
      </c>
      <c r="B555" s="70" t="s">
        <v>229</v>
      </c>
      <c r="C555" s="70">
        <v>0</v>
      </c>
      <c r="D555" s="70" t="s">
        <v>1518</v>
      </c>
      <c r="E555" s="70">
        <v>0</v>
      </c>
      <c r="F555" s="70"/>
      <c r="G555" s="70">
        <v>-656.02</v>
      </c>
      <c r="H555" s="70">
        <v>-11.35</v>
      </c>
      <c r="I555" s="70">
        <v>-6.32</v>
      </c>
      <c r="J555" s="70">
        <v>0.31</v>
      </c>
      <c r="K555" s="70">
        <v>-11.57</v>
      </c>
      <c r="L555" s="70">
        <v>-5.9</v>
      </c>
      <c r="M555" s="68">
        <f t="shared" si="8"/>
        <v>656.02</v>
      </c>
    </row>
    <row r="556" spans="1:13" x14ac:dyDescent="0.25">
      <c r="A556" s="70">
        <v>1967</v>
      </c>
      <c r="B556" s="70" t="s">
        <v>229</v>
      </c>
      <c r="C556" s="70">
        <v>0</v>
      </c>
      <c r="D556" s="70" t="s">
        <v>1411</v>
      </c>
      <c r="E556" s="70">
        <v>4</v>
      </c>
      <c r="F556" s="70"/>
      <c r="G556" s="70">
        <v>325.04000000000002</v>
      </c>
      <c r="H556" s="70">
        <v>-6.76</v>
      </c>
      <c r="I556" s="70">
        <v>-6.33</v>
      </c>
      <c r="J556" s="70">
        <v>0.23</v>
      </c>
      <c r="K556" s="70">
        <v>11.33</v>
      </c>
      <c r="L556" s="70">
        <v>2.99</v>
      </c>
      <c r="M556" s="68">
        <f t="shared" si="8"/>
        <v>-325.04000000000002</v>
      </c>
    </row>
    <row r="557" spans="1:13" x14ac:dyDescent="0.25">
      <c r="A557" s="70">
        <v>2167</v>
      </c>
      <c r="B557" s="70" t="s">
        <v>229</v>
      </c>
      <c r="C557" s="70">
        <v>0</v>
      </c>
      <c r="D557" s="70" t="s">
        <v>1613</v>
      </c>
      <c r="E557" s="70">
        <v>4</v>
      </c>
      <c r="F557" s="70"/>
      <c r="G557" s="70">
        <v>-52.45</v>
      </c>
      <c r="H557" s="70">
        <v>-8.24</v>
      </c>
      <c r="I557" s="70">
        <v>-6.34</v>
      </c>
      <c r="J557" s="70">
        <v>-0.56999999999999995</v>
      </c>
      <c r="K557" s="70">
        <v>-3.3</v>
      </c>
      <c r="L557" s="70">
        <v>4.24</v>
      </c>
      <c r="M557" s="68">
        <f t="shared" si="8"/>
        <v>52.45</v>
      </c>
    </row>
    <row r="558" spans="1:13" x14ac:dyDescent="0.25">
      <c r="A558" s="70">
        <v>2223</v>
      </c>
      <c r="B558" s="70" t="s">
        <v>229</v>
      </c>
      <c r="C558" s="70">
        <v>0</v>
      </c>
      <c r="D558" s="70" t="s">
        <v>1662</v>
      </c>
      <c r="E558" s="70">
        <v>0</v>
      </c>
      <c r="F558" s="70"/>
      <c r="G558" s="70">
        <v>-656.08</v>
      </c>
      <c r="H558" s="70">
        <v>-11.34</v>
      </c>
      <c r="I558" s="70">
        <v>-6.36</v>
      </c>
      <c r="J558" s="70">
        <v>0.31</v>
      </c>
      <c r="K558" s="70">
        <v>-11.64</v>
      </c>
      <c r="L558" s="70">
        <v>-5.89</v>
      </c>
      <c r="M558" s="68">
        <f t="shared" si="8"/>
        <v>656.08</v>
      </c>
    </row>
    <row r="559" spans="1:13" x14ac:dyDescent="0.25">
      <c r="A559" s="70">
        <v>2517</v>
      </c>
      <c r="B559" s="70" t="s">
        <v>229</v>
      </c>
      <c r="C559" s="70">
        <v>0</v>
      </c>
      <c r="D559" s="70" t="s">
        <v>1982</v>
      </c>
      <c r="E559" s="70">
        <v>0</v>
      </c>
      <c r="F559" s="70"/>
      <c r="G559" s="70">
        <v>199.05</v>
      </c>
      <c r="H559" s="70">
        <v>-1.75</v>
      </c>
      <c r="I559" s="70">
        <v>-6.36</v>
      </c>
      <c r="J559" s="70">
        <v>-0.12</v>
      </c>
      <c r="K559" s="70">
        <v>4.04</v>
      </c>
      <c r="L559" s="70">
        <v>0.92</v>
      </c>
      <c r="M559" s="68">
        <f t="shared" si="8"/>
        <v>-199.05</v>
      </c>
    </row>
    <row r="560" spans="1:13" x14ac:dyDescent="0.25">
      <c r="A560" s="70">
        <v>2029</v>
      </c>
      <c r="B560" s="70" t="s">
        <v>229</v>
      </c>
      <c r="C560" s="70">
        <v>0</v>
      </c>
      <c r="D560" s="70" t="s">
        <v>1469</v>
      </c>
      <c r="E560" s="70">
        <v>4</v>
      </c>
      <c r="F560" s="70"/>
      <c r="G560" s="70">
        <v>-52.87</v>
      </c>
      <c r="H560" s="70">
        <v>-8.24</v>
      </c>
      <c r="I560" s="70">
        <v>-6.37</v>
      </c>
      <c r="J560" s="70">
        <v>-0.56999999999999995</v>
      </c>
      <c r="K560" s="70">
        <v>-3.37</v>
      </c>
      <c r="L560" s="70">
        <v>4.24</v>
      </c>
      <c r="M560" s="68">
        <f t="shared" si="8"/>
        <v>52.87</v>
      </c>
    </row>
    <row r="561" spans="1:13" x14ac:dyDescent="0.25">
      <c r="A561" s="70">
        <v>2079</v>
      </c>
      <c r="B561" s="70" t="s">
        <v>229</v>
      </c>
      <c r="C561" s="70">
        <v>0</v>
      </c>
      <c r="D561" s="70" t="s">
        <v>1506</v>
      </c>
      <c r="E561" s="70">
        <v>0</v>
      </c>
      <c r="F561" s="70"/>
      <c r="G561" s="70">
        <v>326.95</v>
      </c>
      <c r="H561" s="70">
        <v>-7.37</v>
      </c>
      <c r="I561" s="70">
        <v>-6.37</v>
      </c>
      <c r="J561" s="70">
        <v>-0.56000000000000005</v>
      </c>
      <c r="K561" s="70">
        <v>8.4600000000000009</v>
      </c>
      <c r="L561" s="70">
        <v>-3.55</v>
      </c>
      <c r="M561" s="68">
        <f t="shared" si="8"/>
        <v>-326.95</v>
      </c>
    </row>
    <row r="562" spans="1:13" x14ac:dyDescent="0.25">
      <c r="A562" s="70">
        <v>2173</v>
      </c>
      <c r="B562" s="70" t="s">
        <v>229</v>
      </c>
      <c r="C562" s="70">
        <v>0</v>
      </c>
      <c r="D562" s="70" t="s">
        <v>1624</v>
      </c>
      <c r="E562" s="70">
        <v>0</v>
      </c>
      <c r="F562" s="70"/>
      <c r="G562" s="70">
        <v>356.71</v>
      </c>
      <c r="H562" s="70">
        <v>7.2</v>
      </c>
      <c r="I562" s="70">
        <v>-6.46</v>
      </c>
      <c r="J562" s="70">
        <v>-0.27</v>
      </c>
      <c r="K562" s="70">
        <v>2.34</v>
      </c>
      <c r="L562" s="70">
        <v>4.05</v>
      </c>
      <c r="M562" s="68">
        <f t="shared" si="8"/>
        <v>-356.71</v>
      </c>
    </row>
    <row r="563" spans="1:13" x14ac:dyDescent="0.25">
      <c r="A563" s="70">
        <v>2217</v>
      </c>
      <c r="B563" s="70" t="s">
        <v>229</v>
      </c>
      <c r="C563" s="70">
        <v>0</v>
      </c>
      <c r="D563" s="70" t="s">
        <v>1650</v>
      </c>
      <c r="E563" s="70">
        <v>0</v>
      </c>
      <c r="F563" s="70"/>
      <c r="G563" s="70">
        <v>327.51</v>
      </c>
      <c r="H563" s="70">
        <v>-7.37</v>
      </c>
      <c r="I563" s="70">
        <v>-6.46</v>
      </c>
      <c r="J563" s="70">
        <v>-0.56000000000000005</v>
      </c>
      <c r="K563" s="70">
        <v>8.44</v>
      </c>
      <c r="L563" s="70">
        <v>-3.55</v>
      </c>
      <c r="M563" s="68">
        <f t="shared" si="8"/>
        <v>-327.51</v>
      </c>
    </row>
    <row r="564" spans="1:13" x14ac:dyDescent="0.25">
      <c r="A564" s="70">
        <v>2520</v>
      </c>
      <c r="B564" s="70" t="s">
        <v>229</v>
      </c>
      <c r="C564" s="70">
        <v>0</v>
      </c>
      <c r="D564" s="70" t="s">
        <v>1988</v>
      </c>
      <c r="E564" s="70">
        <v>0</v>
      </c>
      <c r="F564" s="70"/>
      <c r="G564" s="70">
        <v>144.01</v>
      </c>
      <c r="H564" s="70">
        <v>-1.4</v>
      </c>
      <c r="I564" s="70">
        <v>-6.46</v>
      </c>
      <c r="J564" s="70">
        <v>7.0000000000000007E-2</v>
      </c>
      <c r="K564" s="70">
        <v>5.93</v>
      </c>
      <c r="L564" s="70">
        <v>-0.74</v>
      </c>
      <c r="M564" s="68">
        <f t="shared" si="8"/>
        <v>-144.01</v>
      </c>
    </row>
    <row r="565" spans="1:13" x14ac:dyDescent="0.25">
      <c r="A565" s="70">
        <v>2035</v>
      </c>
      <c r="B565" s="70" t="s">
        <v>229</v>
      </c>
      <c r="C565" s="70">
        <v>0</v>
      </c>
      <c r="D565" s="70" t="s">
        <v>1480</v>
      </c>
      <c r="E565" s="70">
        <v>0</v>
      </c>
      <c r="F565" s="70"/>
      <c r="G565" s="70">
        <v>357.15</v>
      </c>
      <c r="H565" s="70">
        <v>7.19</v>
      </c>
      <c r="I565" s="70">
        <v>-6.47</v>
      </c>
      <c r="J565" s="70">
        <v>-0.27</v>
      </c>
      <c r="K565" s="70">
        <v>2.38</v>
      </c>
      <c r="L565" s="70">
        <v>4.04</v>
      </c>
      <c r="M565" s="68">
        <f t="shared" si="8"/>
        <v>-357.15</v>
      </c>
    </row>
    <row r="566" spans="1:13" x14ac:dyDescent="0.25">
      <c r="A566" s="70">
        <v>2313</v>
      </c>
      <c r="B566" s="70" t="s">
        <v>229</v>
      </c>
      <c r="C566" s="70">
        <v>0</v>
      </c>
      <c r="D566" s="70" t="s">
        <v>1773</v>
      </c>
      <c r="E566" s="70">
        <v>4</v>
      </c>
      <c r="F566" s="70"/>
      <c r="G566" s="70">
        <v>276.3</v>
      </c>
      <c r="H566" s="70">
        <v>-5.85</v>
      </c>
      <c r="I566" s="70">
        <v>-6.55</v>
      </c>
      <c r="J566" s="70">
        <v>0.19</v>
      </c>
      <c r="K566" s="70">
        <v>18.21</v>
      </c>
      <c r="L566" s="70">
        <v>2.57</v>
      </c>
      <c r="M566" s="68">
        <f t="shared" si="8"/>
        <v>-276.3</v>
      </c>
    </row>
    <row r="567" spans="1:13" x14ac:dyDescent="0.25">
      <c r="A567" s="70">
        <v>2017</v>
      </c>
      <c r="B567" s="70" t="s">
        <v>229</v>
      </c>
      <c r="C567" s="70">
        <v>0</v>
      </c>
      <c r="D567" s="70" t="s">
        <v>1449</v>
      </c>
      <c r="E567" s="70">
        <v>4</v>
      </c>
      <c r="F567" s="70"/>
      <c r="G567" s="70">
        <v>-753.78</v>
      </c>
      <c r="H567" s="70">
        <v>-10.6</v>
      </c>
      <c r="I567" s="70">
        <v>-6.57</v>
      </c>
      <c r="J567" s="70">
        <v>0.3</v>
      </c>
      <c r="K567" s="70">
        <v>-6.63</v>
      </c>
      <c r="L567" s="70">
        <v>5.19</v>
      </c>
      <c r="M567" s="68">
        <f t="shared" si="8"/>
        <v>753.78</v>
      </c>
    </row>
    <row r="568" spans="1:13" x14ac:dyDescent="0.25">
      <c r="A568" s="70">
        <v>16</v>
      </c>
      <c r="B568" s="70" t="s">
        <v>229</v>
      </c>
      <c r="C568" s="70">
        <v>0</v>
      </c>
      <c r="D568" s="70" t="s">
        <v>1124</v>
      </c>
      <c r="E568" s="70">
        <v>0</v>
      </c>
      <c r="F568" s="70"/>
      <c r="G568" s="70">
        <v>144.16999999999999</v>
      </c>
      <c r="H568" s="70">
        <v>-1.41</v>
      </c>
      <c r="I568" s="70">
        <v>-6.61</v>
      </c>
      <c r="J568" s="70">
        <v>7.0000000000000007E-2</v>
      </c>
      <c r="K568" s="70">
        <v>5.96</v>
      </c>
      <c r="L568" s="70">
        <v>-0.74</v>
      </c>
      <c r="M568" s="68">
        <f t="shared" si="8"/>
        <v>-144.16999999999999</v>
      </c>
    </row>
    <row r="569" spans="1:13" x14ac:dyDescent="0.25">
      <c r="A569" s="70">
        <v>1899</v>
      </c>
      <c r="B569" s="70" t="s">
        <v>229</v>
      </c>
      <c r="C569" s="70">
        <v>0</v>
      </c>
      <c r="D569" s="70" t="s">
        <v>1341</v>
      </c>
      <c r="E569" s="70">
        <v>4</v>
      </c>
      <c r="F569" s="70"/>
      <c r="G569" s="70">
        <v>276.5</v>
      </c>
      <c r="H569" s="70">
        <v>-5.87</v>
      </c>
      <c r="I569" s="70">
        <v>-6.74</v>
      </c>
      <c r="J569" s="70">
        <v>0.19</v>
      </c>
      <c r="K569" s="70">
        <v>18.170000000000002</v>
      </c>
      <c r="L569" s="70">
        <v>2.58</v>
      </c>
      <c r="M569" s="68">
        <f t="shared" si="8"/>
        <v>-276.5</v>
      </c>
    </row>
    <row r="570" spans="1:13" x14ac:dyDescent="0.25">
      <c r="A570" s="70">
        <v>2509</v>
      </c>
      <c r="B570" s="70" t="s">
        <v>229</v>
      </c>
      <c r="C570" s="70">
        <v>0</v>
      </c>
      <c r="D570" s="70" t="s">
        <v>1966</v>
      </c>
      <c r="E570" s="70">
        <v>0</v>
      </c>
      <c r="F570" s="70"/>
      <c r="G570" s="70">
        <v>-294.88</v>
      </c>
      <c r="H570" s="70">
        <v>-2.61</v>
      </c>
      <c r="I570" s="70">
        <v>-6.75</v>
      </c>
      <c r="J570" s="70">
        <v>0.12</v>
      </c>
      <c r="K570" s="70">
        <v>-8.01</v>
      </c>
      <c r="L570" s="70">
        <v>-1.25</v>
      </c>
      <c r="M570" s="68">
        <f t="shared" si="8"/>
        <v>294.88</v>
      </c>
    </row>
    <row r="571" spans="1:13" x14ac:dyDescent="0.25">
      <c r="A571" s="70">
        <v>5</v>
      </c>
      <c r="B571" s="70" t="s">
        <v>229</v>
      </c>
      <c r="C571" s="70">
        <v>0</v>
      </c>
      <c r="D571" s="70" t="s">
        <v>1102</v>
      </c>
      <c r="E571" s="70">
        <v>0</v>
      </c>
      <c r="F571" s="70"/>
      <c r="G571" s="70">
        <v>-295.52999999999997</v>
      </c>
      <c r="H571" s="70">
        <v>2.6</v>
      </c>
      <c r="I571" s="70">
        <v>-6.76</v>
      </c>
      <c r="J571" s="70">
        <v>0.12</v>
      </c>
      <c r="K571" s="70">
        <v>-8.02</v>
      </c>
      <c r="L571" s="70">
        <v>1.25</v>
      </c>
      <c r="M571" s="68">
        <f t="shared" si="8"/>
        <v>295.52999999999997</v>
      </c>
    </row>
    <row r="572" spans="1:13" x14ac:dyDescent="0.25">
      <c r="A572" s="70">
        <v>2348</v>
      </c>
      <c r="B572" s="70" t="s">
        <v>229</v>
      </c>
      <c r="C572" s="70">
        <v>0</v>
      </c>
      <c r="D572" s="70" t="s">
        <v>1781</v>
      </c>
      <c r="E572" s="70">
        <v>4</v>
      </c>
      <c r="F572" s="70"/>
      <c r="G572" s="70">
        <v>133.12</v>
      </c>
      <c r="H572" s="70">
        <v>4.66</v>
      </c>
      <c r="I572" s="70">
        <v>-6.77</v>
      </c>
      <c r="J572" s="70">
        <v>0.17</v>
      </c>
      <c r="K572" s="70">
        <v>17.57</v>
      </c>
      <c r="L572" s="70">
        <v>-2.71</v>
      </c>
      <c r="M572" s="68">
        <f t="shared" si="8"/>
        <v>-133.12</v>
      </c>
    </row>
    <row r="573" spans="1:13" x14ac:dyDescent="0.25">
      <c r="A573" s="70">
        <v>2014</v>
      </c>
      <c r="B573" s="70" t="s">
        <v>229</v>
      </c>
      <c r="C573" s="70">
        <v>0</v>
      </c>
      <c r="D573" s="70" t="s">
        <v>1442</v>
      </c>
      <c r="E573" s="70">
        <v>0</v>
      </c>
      <c r="F573" s="70"/>
      <c r="G573" s="70">
        <v>-417.29</v>
      </c>
      <c r="H573" s="70">
        <v>-9.84</v>
      </c>
      <c r="I573" s="70">
        <v>-6.79</v>
      </c>
      <c r="J573" s="70">
        <v>-0.4</v>
      </c>
      <c r="K573" s="70">
        <v>-13.33</v>
      </c>
      <c r="L573" s="70">
        <v>-5.21</v>
      </c>
      <c r="M573" s="68">
        <f t="shared" si="8"/>
        <v>417.29</v>
      </c>
    </row>
    <row r="574" spans="1:13" x14ac:dyDescent="0.25">
      <c r="A574" s="70">
        <v>2293</v>
      </c>
      <c r="B574" s="70" t="s">
        <v>229</v>
      </c>
      <c r="C574" s="70">
        <v>0</v>
      </c>
      <c r="D574" s="70" t="s">
        <v>1737</v>
      </c>
      <c r="E574" s="70">
        <v>4</v>
      </c>
      <c r="F574" s="70"/>
      <c r="G574" s="70">
        <v>-754.85</v>
      </c>
      <c r="H574" s="70">
        <v>10.59</v>
      </c>
      <c r="I574" s="70">
        <v>-6.79</v>
      </c>
      <c r="J574" s="70">
        <v>0.3</v>
      </c>
      <c r="K574" s="70">
        <v>-6.64</v>
      </c>
      <c r="L574" s="70">
        <v>-5.18</v>
      </c>
      <c r="M574" s="68">
        <f t="shared" si="8"/>
        <v>754.85</v>
      </c>
    </row>
    <row r="575" spans="1:13" x14ac:dyDescent="0.25">
      <c r="A575" s="70">
        <v>1959</v>
      </c>
      <c r="B575" s="70" t="s">
        <v>229</v>
      </c>
      <c r="C575" s="70">
        <v>0</v>
      </c>
      <c r="D575" s="70" t="s">
        <v>1395</v>
      </c>
      <c r="E575" s="70">
        <v>4</v>
      </c>
      <c r="F575" s="70"/>
      <c r="G575" s="70">
        <v>-248.97</v>
      </c>
      <c r="H575" s="70">
        <v>-8.91</v>
      </c>
      <c r="I575" s="70">
        <v>-6.8</v>
      </c>
      <c r="J575" s="70">
        <v>-0.52</v>
      </c>
      <c r="K575" s="70">
        <v>-10.24</v>
      </c>
      <c r="L575" s="70">
        <v>4.7</v>
      </c>
      <c r="M575" s="68">
        <f t="shared" si="8"/>
        <v>248.97</v>
      </c>
    </row>
    <row r="576" spans="1:13" x14ac:dyDescent="0.25">
      <c r="A576" s="70">
        <v>2027</v>
      </c>
      <c r="B576" s="70" t="s">
        <v>229</v>
      </c>
      <c r="C576" s="70">
        <v>0</v>
      </c>
      <c r="D576" s="70" t="s">
        <v>1464</v>
      </c>
      <c r="E576" s="70">
        <v>0</v>
      </c>
      <c r="F576" s="70"/>
      <c r="G576" s="70">
        <v>-419.19</v>
      </c>
      <c r="H576" s="70">
        <v>-9.83</v>
      </c>
      <c r="I576" s="70">
        <v>-6.83</v>
      </c>
      <c r="J576" s="70">
        <v>-0.41</v>
      </c>
      <c r="K576" s="70">
        <v>-13.33</v>
      </c>
      <c r="L576" s="70">
        <v>-4.58</v>
      </c>
      <c r="M576" s="68">
        <f t="shared" si="8"/>
        <v>419.19</v>
      </c>
    </row>
    <row r="577" spans="1:13" x14ac:dyDescent="0.25">
      <c r="A577" s="70">
        <v>2290</v>
      </c>
      <c r="B577" s="70" t="s">
        <v>229</v>
      </c>
      <c r="C577" s="70">
        <v>0</v>
      </c>
      <c r="D577" s="70" t="s">
        <v>1730</v>
      </c>
      <c r="E577" s="70">
        <v>0</v>
      </c>
      <c r="F577" s="70"/>
      <c r="G577" s="70">
        <v>-419.18</v>
      </c>
      <c r="H577" s="70">
        <v>-9.82</v>
      </c>
      <c r="I577" s="70">
        <v>-6.83</v>
      </c>
      <c r="J577" s="70">
        <v>-0.4</v>
      </c>
      <c r="K577" s="70">
        <v>-13.24</v>
      </c>
      <c r="L577" s="70">
        <v>-5.2</v>
      </c>
      <c r="M577" s="68">
        <f t="shared" si="8"/>
        <v>419.18</v>
      </c>
    </row>
    <row r="578" spans="1:13" x14ac:dyDescent="0.25">
      <c r="A578" s="70">
        <v>2165</v>
      </c>
      <c r="B578" s="70" t="s">
        <v>229</v>
      </c>
      <c r="C578" s="70">
        <v>0</v>
      </c>
      <c r="D578" s="70" t="s">
        <v>1608</v>
      </c>
      <c r="E578" s="70">
        <v>0</v>
      </c>
      <c r="F578" s="70"/>
      <c r="G578" s="70">
        <v>-417.79</v>
      </c>
      <c r="H578" s="70">
        <v>-9.85</v>
      </c>
      <c r="I578" s="70">
        <v>-6.84</v>
      </c>
      <c r="J578" s="70">
        <v>-0.41</v>
      </c>
      <c r="K578" s="70">
        <v>-13.24</v>
      </c>
      <c r="L578" s="70">
        <v>-4.59</v>
      </c>
      <c r="M578" s="68">
        <f t="shared" ref="M578:M641" si="9">G578*-1</f>
        <v>417.79</v>
      </c>
    </row>
    <row r="579" spans="1:13" x14ac:dyDescent="0.25">
      <c r="A579" s="70">
        <v>1934</v>
      </c>
      <c r="B579" s="70" t="s">
        <v>229</v>
      </c>
      <c r="C579" s="70">
        <v>0</v>
      </c>
      <c r="D579" s="70" t="s">
        <v>1349</v>
      </c>
      <c r="E579" s="70">
        <v>4</v>
      </c>
      <c r="F579" s="70"/>
      <c r="G579" s="70">
        <v>132.77000000000001</v>
      </c>
      <c r="H579" s="70">
        <v>4.68</v>
      </c>
      <c r="I579" s="70">
        <v>-6.85</v>
      </c>
      <c r="J579" s="70">
        <v>0.17</v>
      </c>
      <c r="K579" s="70">
        <v>17.55</v>
      </c>
      <c r="L579" s="70">
        <v>-2.72</v>
      </c>
      <c r="M579" s="68">
        <f t="shared" si="9"/>
        <v>-132.77000000000001</v>
      </c>
    </row>
    <row r="580" spans="1:13" x14ac:dyDescent="0.25">
      <c r="A580" s="70">
        <v>2518</v>
      </c>
      <c r="B580" s="70" t="s">
        <v>229</v>
      </c>
      <c r="C580" s="70">
        <v>0</v>
      </c>
      <c r="D580" s="70" t="s">
        <v>1984</v>
      </c>
      <c r="E580" s="70">
        <v>0</v>
      </c>
      <c r="F580" s="70"/>
      <c r="G580" s="70">
        <v>182.67</v>
      </c>
      <c r="H580" s="70">
        <v>1.73</v>
      </c>
      <c r="I580" s="70">
        <v>-6.89</v>
      </c>
      <c r="J580" s="70">
        <v>0.09</v>
      </c>
      <c r="K580" s="70">
        <v>2.91</v>
      </c>
      <c r="L580" s="70">
        <v>0.92</v>
      </c>
      <c r="M580" s="68">
        <f t="shared" si="9"/>
        <v>-182.67</v>
      </c>
    </row>
    <row r="581" spans="1:13" x14ac:dyDescent="0.25">
      <c r="A581" s="70">
        <v>14</v>
      </c>
      <c r="B581" s="70" t="s">
        <v>229</v>
      </c>
      <c r="C581" s="70">
        <v>0</v>
      </c>
      <c r="D581" s="70" t="s">
        <v>1120</v>
      </c>
      <c r="E581" s="70">
        <v>0</v>
      </c>
      <c r="F581" s="70"/>
      <c r="G581" s="70">
        <v>182.94</v>
      </c>
      <c r="H581" s="70">
        <v>-1.73</v>
      </c>
      <c r="I581" s="70">
        <v>-6.9</v>
      </c>
      <c r="J581" s="70">
        <v>-0.09</v>
      </c>
      <c r="K581" s="70">
        <v>2.92</v>
      </c>
      <c r="L581" s="70">
        <v>-0.92</v>
      </c>
      <c r="M581" s="68">
        <f t="shared" si="9"/>
        <v>-182.94</v>
      </c>
    </row>
    <row r="582" spans="1:13" x14ac:dyDescent="0.25">
      <c r="A582" s="70">
        <v>2235</v>
      </c>
      <c r="B582" s="70" t="s">
        <v>229</v>
      </c>
      <c r="C582" s="70">
        <v>0</v>
      </c>
      <c r="D582" s="70" t="s">
        <v>1683</v>
      </c>
      <c r="E582" s="70">
        <v>4</v>
      </c>
      <c r="F582" s="70"/>
      <c r="G582" s="70">
        <v>-247.42</v>
      </c>
      <c r="H582" s="70">
        <v>-8.93</v>
      </c>
      <c r="I582" s="70">
        <v>-6.9</v>
      </c>
      <c r="J582" s="70">
        <v>-0.52</v>
      </c>
      <c r="K582" s="70">
        <v>-10.28</v>
      </c>
      <c r="L582" s="70">
        <v>4.71</v>
      </c>
      <c r="M582" s="68">
        <f t="shared" si="9"/>
        <v>247.42</v>
      </c>
    </row>
    <row r="583" spans="1:13" x14ac:dyDescent="0.25">
      <c r="A583" s="70">
        <v>2560</v>
      </c>
      <c r="B583" s="70" t="s">
        <v>229</v>
      </c>
      <c r="C583" s="70">
        <v>0</v>
      </c>
      <c r="D583" s="70" t="s">
        <v>2007</v>
      </c>
      <c r="E583" s="70">
        <v>4</v>
      </c>
      <c r="F583" s="70"/>
      <c r="G583" s="70">
        <v>212.73</v>
      </c>
      <c r="H583" s="70">
        <v>-1.77</v>
      </c>
      <c r="I583" s="70">
        <v>-7.1</v>
      </c>
      <c r="J583" s="70">
        <v>-0.15</v>
      </c>
      <c r="K583" s="70">
        <v>6.55</v>
      </c>
      <c r="L583" s="70">
        <v>0.92</v>
      </c>
      <c r="M583" s="68">
        <f t="shared" si="9"/>
        <v>-212.73</v>
      </c>
    </row>
    <row r="584" spans="1:13" x14ac:dyDescent="0.25">
      <c r="A584" s="70">
        <v>2516</v>
      </c>
      <c r="B584" s="70" t="s">
        <v>229</v>
      </c>
      <c r="C584" s="70">
        <v>0</v>
      </c>
      <c r="D584" s="70" t="s">
        <v>1980</v>
      </c>
      <c r="E584" s="70">
        <v>0</v>
      </c>
      <c r="F584" s="70"/>
      <c r="G584" s="70">
        <v>210.62</v>
      </c>
      <c r="H584" s="70">
        <v>-1.76</v>
      </c>
      <c r="I584" s="70">
        <v>-7.11</v>
      </c>
      <c r="J584" s="70">
        <v>-0.14000000000000001</v>
      </c>
      <c r="K584" s="70">
        <v>6.23</v>
      </c>
      <c r="L584" s="70">
        <v>-0.92</v>
      </c>
      <c r="M584" s="68">
        <f t="shared" si="9"/>
        <v>-210.62</v>
      </c>
    </row>
    <row r="585" spans="1:13" x14ac:dyDescent="0.25">
      <c r="A585" s="70">
        <v>2141</v>
      </c>
      <c r="B585" s="70" t="s">
        <v>229</v>
      </c>
      <c r="C585" s="70">
        <v>0</v>
      </c>
      <c r="D585" s="70" t="s">
        <v>1564</v>
      </c>
      <c r="E585" s="70">
        <v>0</v>
      </c>
      <c r="F585" s="70"/>
      <c r="G585" s="70">
        <v>120.34</v>
      </c>
      <c r="H585" s="70">
        <v>4.67</v>
      </c>
      <c r="I585" s="70">
        <v>-7.12</v>
      </c>
      <c r="J585" s="70">
        <v>0.17</v>
      </c>
      <c r="K585" s="70">
        <v>11.32</v>
      </c>
      <c r="L585" s="70">
        <v>-2</v>
      </c>
      <c r="M585" s="68">
        <f t="shared" si="9"/>
        <v>-120.34</v>
      </c>
    </row>
    <row r="586" spans="1:13" x14ac:dyDescent="0.25">
      <c r="A586" s="70">
        <v>2568</v>
      </c>
      <c r="B586" s="70" t="s">
        <v>229</v>
      </c>
      <c r="C586" s="70">
        <v>0</v>
      </c>
      <c r="D586" s="70" t="s">
        <v>2022</v>
      </c>
      <c r="E586" s="70">
        <v>0</v>
      </c>
      <c r="F586" s="70"/>
      <c r="G586" s="70">
        <v>-343.88</v>
      </c>
      <c r="H586" s="70">
        <v>2.71</v>
      </c>
      <c r="I586" s="70">
        <v>-7.13</v>
      </c>
      <c r="J586" s="70">
        <v>0.11</v>
      </c>
      <c r="K586" s="70">
        <v>-7.24</v>
      </c>
      <c r="L586" s="70">
        <v>-1.38</v>
      </c>
      <c r="M586" s="68">
        <f t="shared" si="9"/>
        <v>343.88</v>
      </c>
    </row>
    <row r="587" spans="1:13" x14ac:dyDescent="0.25">
      <c r="A587" s="70">
        <v>1896</v>
      </c>
      <c r="B587" s="70" t="s">
        <v>229</v>
      </c>
      <c r="C587" s="70">
        <v>0</v>
      </c>
      <c r="D587" s="70" t="s">
        <v>1334</v>
      </c>
      <c r="E587" s="70">
        <v>0</v>
      </c>
      <c r="F587" s="70"/>
      <c r="G587" s="70">
        <v>393.96</v>
      </c>
      <c r="H587" s="70">
        <v>-7.35</v>
      </c>
      <c r="I587" s="70">
        <v>-7.16</v>
      </c>
      <c r="J587" s="70">
        <v>-0.33</v>
      </c>
      <c r="K587" s="70">
        <v>5.7</v>
      </c>
      <c r="L587" s="70">
        <v>-4.07</v>
      </c>
      <c r="M587" s="68">
        <f t="shared" si="9"/>
        <v>-393.96</v>
      </c>
    </row>
    <row r="588" spans="1:13" x14ac:dyDescent="0.25">
      <c r="A588" s="70">
        <v>2370</v>
      </c>
      <c r="B588" s="70" t="s">
        <v>229</v>
      </c>
      <c r="C588" s="70">
        <v>0</v>
      </c>
      <c r="D588" s="70" t="s">
        <v>1820</v>
      </c>
      <c r="E588" s="70">
        <v>0</v>
      </c>
      <c r="F588" s="70"/>
      <c r="G588" s="70">
        <v>-684.41</v>
      </c>
      <c r="H588" s="70">
        <v>-11.34</v>
      </c>
      <c r="I588" s="70">
        <v>-7.2</v>
      </c>
      <c r="J588" s="70">
        <v>0.3</v>
      </c>
      <c r="K588" s="70">
        <v>-11.03</v>
      </c>
      <c r="L588" s="70">
        <v>-5.39</v>
      </c>
      <c r="M588" s="68">
        <f t="shared" si="9"/>
        <v>684.41</v>
      </c>
    </row>
    <row r="589" spans="1:13" x14ac:dyDescent="0.25">
      <c r="A589" s="70">
        <v>2567</v>
      </c>
      <c r="B589" s="70" t="s">
        <v>229</v>
      </c>
      <c r="C589" s="70">
        <v>0</v>
      </c>
      <c r="D589" s="70" t="s">
        <v>2020</v>
      </c>
      <c r="E589" s="70">
        <v>0</v>
      </c>
      <c r="F589" s="70"/>
      <c r="G589" s="70">
        <v>-291.87</v>
      </c>
      <c r="H589" s="70">
        <v>2.6</v>
      </c>
      <c r="I589" s="70">
        <v>-7.24</v>
      </c>
      <c r="J589" s="70">
        <v>0.12</v>
      </c>
      <c r="K589" s="70">
        <v>-8.43</v>
      </c>
      <c r="L589" s="70">
        <v>1.33</v>
      </c>
      <c r="M589" s="68">
        <f t="shared" si="9"/>
        <v>291.87</v>
      </c>
    </row>
    <row r="590" spans="1:13" x14ac:dyDescent="0.25">
      <c r="A590" s="70">
        <v>2078</v>
      </c>
      <c r="B590" s="70" t="s">
        <v>229</v>
      </c>
      <c r="C590" s="70">
        <v>0</v>
      </c>
      <c r="D590" s="70" t="s">
        <v>1504</v>
      </c>
      <c r="E590" s="70">
        <v>0</v>
      </c>
      <c r="F590" s="70"/>
      <c r="G590" s="70">
        <v>405.31</v>
      </c>
      <c r="H590" s="70">
        <v>-7.35</v>
      </c>
      <c r="I590" s="70">
        <v>-7.28</v>
      </c>
      <c r="J590" s="70">
        <v>-0.5</v>
      </c>
      <c r="K590" s="70">
        <v>7.8</v>
      </c>
      <c r="L590" s="70">
        <v>-3.39</v>
      </c>
      <c r="M590" s="68">
        <f t="shared" si="9"/>
        <v>-405.31</v>
      </c>
    </row>
    <row r="591" spans="1:13" x14ac:dyDescent="0.25">
      <c r="A591" s="70">
        <v>2569</v>
      </c>
      <c r="B591" s="70" t="s">
        <v>229</v>
      </c>
      <c r="C591" s="70">
        <v>0</v>
      </c>
      <c r="D591" s="70" t="s">
        <v>2024</v>
      </c>
      <c r="E591" s="70">
        <v>0</v>
      </c>
      <c r="F591" s="70"/>
      <c r="G591" s="70">
        <v>-389.23</v>
      </c>
      <c r="H591" s="70">
        <v>2.54</v>
      </c>
      <c r="I591" s="70">
        <v>-7.28</v>
      </c>
      <c r="J591" s="70">
        <v>0.1</v>
      </c>
      <c r="K591" s="70">
        <v>-6.05</v>
      </c>
      <c r="L591" s="70">
        <v>1.27</v>
      </c>
      <c r="M591" s="68">
        <f t="shared" si="9"/>
        <v>389.23</v>
      </c>
    </row>
    <row r="592" spans="1:13" x14ac:dyDescent="0.25">
      <c r="A592" s="70">
        <v>65</v>
      </c>
      <c r="B592" s="70" t="s">
        <v>229</v>
      </c>
      <c r="C592" s="70">
        <v>0</v>
      </c>
      <c r="D592" s="70" t="s">
        <v>1156</v>
      </c>
      <c r="E592" s="70">
        <v>0</v>
      </c>
      <c r="F592" s="70"/>
      <c r="G592" s="70">
        <v>-291.20999999999998</v>
      </c>
      <c r="H592" s="70">
        <v>-2.61</v>
      </c>
      <c r="I592" s="70">
        <v>-7.29</v>
      </c>
      <c r="J592" s="70">
        <v>0.12</v>
      </c>
      <c r="K592" s="70">
        <v>-8.4600000000000009</v>
      </c>
      <c r="L592" s="70">
        <v>-1.33</v>
      </c>
      <c r="M592" s="68">
        <f t="shared" si="9"/>
        <v>291.20999999999998</v>
      </c>
    </row>
    <row r="593" spans="1:13" x14ac:dyDescent="0.25">
      <c r="A593" s="70">
        <v>2310</v>
      </c>
      <c r="B593" s="70" t="s">
        <v>229</v>
      </c>
      <c r="C593" s="70">
        <v>0</v>
      </c>
      <c r="D593" s="70" t="s">
        <v>1766</v>
      </c>
      <c r="E593" s="70">
        <v>0</v>
      </c>
      <c r="F593" s="70"/>
      <c r="G593" s="70">
        <v>393.47</v>
      </c>
      <c r="H593" s="70">
        <v>-7.3</v>
      </c>
      <c r="I593" s="70">
        <v>-7.29</v>
      </c>
      <c r="J593" s="70">
        <v>-0.33</v>
      </c>
      <c r="K593" s="70">
        <v>5.63</v>
      </c>
      <c r="L593" s="70">
        <v>4.04</v>
      </c>
      <c r="M593" s="68">
        <f t="shared" si="9"/>
        <v>-393.47</v>
      </c>
    </row>
    <row r="594" spans="1:13" x14ac:dyDescent="0.25">
      <c r="A594" s="70">
        <v>66</v>
      </c>
      <c r="B594" s="70" t="s">
        <v>229</v>
      </c>
      <c r="C594" s="70">
        <v>0</v>
      </c>
      <c r="D594" s="70" t="s">
        <v>1158</v>
      </c>
      <c r="E594" s="70">
        <v>0</v>
      </c>
      <c r="F594" s="70"/>
      <c r="G594" s="70">
        <v>-343.41</v>
      </c>
      <c r="H594" s="70">
        <v>-2.73</v>
      </c>
      <c r="I594" s="70">
        <v>-7.3</v>
      </c>
      <c r="J594" s="70">
        <v>0.11</v>
      </c>
      <c r="K594" s="70">
        <v>-7.33</v>
      </c>
      <c r="L594" s="70">
        <v>-1.39</v>
      </c>
      <c r="M594" s="68">
        <f t="shared" si="9"/>
        <v>343.41</v>
      </c>
    </row>
    <row r="595" spans="1:13" x14ac:dyDescent="0.25">
      <c r="A595" s="70">
        <v>1948</v>
      </c>
      <c r="B595" s="70" t="s">
        <v>229</v>
      </c>
      <c r="C595" s="70">
        <v>0</v>
      </c>
      <c r="D595" s="70" t="s">
        <v>1377</v>
      </c>
      <c r="E595" s="70">
        <v>4</v>
      </c>
      <c r="F595" s="70"/>
      <c r="G595" s="70">
        <v>-761.31</v>
      </c>
      <c r="H595" s="70">
        <v>-10.61</v>
      </c>
      <c r="I595" s="70">
        <v>-7.3</v>
      </c>
      <c r="J595" s="70">
        <v>0.3</v>
      </c>
      <c r="K595" s="70">
        <v>-7.25</v>
      </c>
      <c r="L595" s="70">
        <v>5.19</v>
      </c>
      <c r="M595" s="68">
        <f t="shared" si="9"/>
        <v>761.31</v>
      </c>
    </row>
    <row r="596" spans="1:13" x14ac:dyDescent="0.25">
      <c r="A596" s="70">
        <v>2291</v>
      </c>
      <c r="B596" s="70" t="s">
        <v>229</v>
      </c>
      <c r="C596" s="70">
        <v>0</v>
      </c>
      <c r="D596" s="70" t="s">
        <v>1732</v>
      </c>
      <c r="E596" s="70">
        <v>0</v>
      </c>
      <c r="F596" s="70"/>
      <c r="G596" s="70">
        <v>-555.1</v>
      </c>
      <c r="H596" s="70">
        <v>-10.84</v>
      </c>
      <c r="I596" s="70">
        <v>-7.32</v>
      </c>
      <c r="J596" s="70">
        <v>0.33</v>
      </c>
      <c r="K596" s="70">
        <v>-13.6</v>
      </c>
      <c r="L596" s="70">
        <v>-5.69</v>
      </c>
      <c r="M596" s="68">
        <f t="shared" si="9"/>
        <v>555.1</v>
      </c>
    </row>
    <row r="597" spans="1:13" x14ac:dyDescent="0.25">
      <c r="A597" s="70">
        <v>2216</v>
      </c>
      <c r="B597" s="70" t="s">
        <v>229</v>
      </c>
      <c r="C597" s="70">
        <v>0</v>
      </c>
      <c r="D597" s="70" t="s">
        <v>1648</v>
      </c>
      <c r="E597" s="70">
        <v>0</v>
      </c>
      <c r="F597" s="70"/>
      <c r="G597" s="70">
        <v>405.79</v>
      </c>
      <c r="H597" s="70">
        <v>-7.36</v>
      </c>
      <c r="I597" s="70">
        <v>-7.36</v>
      </c>
      <c r="J597" s="70">
        <v>-0.5</v>
      </c>
      <c r="K597" s="70">
        <v>7.78</v>
      </c>
      <c r="L597" s="70">
        <v>-3.4</v>
      </c>
      <c r="M597" s="68">
        <f t="shared" si="9"/>
        <v>-405.79</v>
      </c>
    </row>
    <row r="598" spans="1:13" x14ac:dyDescent="0.25">
      <c r="A598" s="70">
        <v>2015</v>
      </c>
      <c r="B598" s="70" t="s">
        <v>229</v>
      </c>
      <c r="C598" s="70">
        <v>0</v>
      </c>
      <c r="D598" s="70" t="s">
        <v>1444</v>
      </c>
      <c r="E598" s="70">
        <v>0</v>
      </c>
      <c r="F598" s="70"/>
      <c r="G598" s="70">
        <v>-555.29</v>
      </c>
      <c r="H598" s="70">
        <v>-10.87</v>
      </c>
      <c r="I598" s="70">
        <v>-7.39</v>
      </c>
      <c r="J598" s="70">
        <v>0.33</v>
      </c>
      <c r="K598" s="70">
        <v>-13.66</v>
      </c>
      <c r="L598" s="70">
        <v>-5.71</v>
      </c>
      <c r="M598" s="68">
        <f t="shared" si="9"/>
        <v>555.29</v>
      </c>
    </row>
    <row r="599" spans="1:13" x14ac:dyDescent="0.25">
      <c r="A599" s="70">
        <v>1895</v>
      </c>
      <c r="B599" s="70" t="s">
        <v>229</v>
      </c>
      <c r="C599" s="70">
        <v>0</v>
      </c>
      <c r="D599" s="70" t="s">
        <v>1332</v>
      </c>
      <c r="E599" s="70">
        <v>0</v>
      </c>
      <c r="F599" s="70"/>
      <c r="G599" s="70">
        <v>417.78</v>
      </c>
      <c r="H599" s="70">
        <v>-7.4</v>
      </c>
      <c r="I599" s="70">
        <v>-7.41</v>
      </c>
      <c r="J599" s="70">
        <v>-0.41</v>
      </c>
      <c r="K599" s="70">
        <v>9.4</v>
      </c>
      <c r="L599" s="70">
        <v>-4.0199999999999996</v>
      </c>
      <c r="M599" s="68">
        <f t="shared" si="9"/>
        <v>-417.78</v>
      </c>
    </row>
    <row r="600" spans="1:13" x14ac:dyDescent="0.25">
      <c r="A600" s="70">
        <v>2312</v>
      </c>
      <c r="B600" s="70" t="s">
        <v>229</v>
      </c>
      <c r="C600" s="70">
        <v>0</v>
      </c>
      <c r="D600" s="70" t="s">
        <v>1771</v>
      </c>
      <c r="E600" s="70">
        <v>4</v>
      </c>
      <c r="F600" s="70"/>
      <c r="G600" s="70">
        <v>326.60000000000002</v>
      </c>
      <c r="H600" s="70">
        <v>-6.74</v>
      </c>
      <c r="I600" s="70">
        <v>-7.41</v>
      </c>
      <c r="J600" s="70">
        <v>0.23</v>
      </c>
      <c r="K600" s="70">
        <v>11.42</v>
      </c>
      <c r="L600" s="70">
        <v>2.98</v>
      </c>
      <c r="M600" s="68">
        <f t="shared" si="9"/>
        <v>-326.60000000000002</v>
      </c>
    </row>
    <row r="601" spans="1:13" x14ac:dyDescent="0.25">
      <c r="A601" s="70">
        <v>1818</v>
      </c>
      <c r="B601" s="70" t="s">
        <v>229</v>
      </c>
      <c r="C601" s="70">
        <v>0</v>
      </c>
      <c r="D601" s="70" t="s">
        <v>1244</v>
      </c>
      <c r="E601" s="70">
        <v>0</v>
      </c>
      <c r="F601" s="70"/>
      <c r="G601" s="70">
        <v>-684.92</v>
      </c>
      <c r="H601" s="70">
        <v>11.3</v>
      </c>
      <c r="I601" s="70">
        <v>-7.44</v>
      </c>
      <c r="J601" s="70">
        <v>0.31</v>
      </c>
      <c r="K601" s="70">
        <v>-11.14</v>
      </c>
      <c r="L601" s="70">
        <v>5.39</v>
      </c>
      <c r="M601" s="68">
        <f t="shared" si="9"/>
        <v>684.92</v>
      </c>
    </row>
    <row r="602" spans="1:13" x14ac:dyDescent="0.25">
      <c r="A602" s="70">
        <v>2076</v>
      </c>
      <c r="B602" s="70" t="s">
        <v>229</v>
      </c>
      <c r="C602" s="70">
        <v>0</v>
      </c>
      <c r="D602" s="70" t="s">
        <v>1500</v>
      </c>
      <c r="E602" s="70">
        <v>0</v>
      </c>
      <c r="F602" s="70"/>
      <c r="G602" s="70">
        <v>386.24</v>
      </c>
      <c r="H602" s="70">
        <v>-7.31</v>
      </c>
      <c r="I602" s="70">
        <v>-7.48</v>
      </c>
      <c r="J602" s="70">
        <v>-0.33</v>
      </c>
      <c r="K602" s="70">
        <v>2.23</v>
      </c>
      <c r="L602" s="70">
        <v>-3.21</v>
      </c>
      <c r="M602" s="68">
        <f t="shared" si="9"/>
        <v>-386.24</v>
      </c>
    </row>
    <row r="603" spans="1:13" x14ac:dyDescent="0.25">
      <c r="A603" s="70">
        <v>2072</v>
      </c>
      <c r="B603" s="70" t="s">
        <v>229</v>
      </c>
      <c r="C603" s="70">
        <v>0</v>
      </c>
      <c r="D603" s="70" t="s">
        <v>1492</v>
      </c>
      <c r="E603" s="70">
        <v>0</v>
      </c>
      <c r="F603" s="70"/>
      <c r="G603" s="70">
        <v>122.02</v>
      </c>
      <c r="H603" s="70">
        <v>4.67</v>
      </c>
      <c r="I603" s="70">
        <v>-7.49</v>
      </c>
      <c r="J603" s="70">
        <v>0.17</v>
      </c>
      <c r="K603" s="70">
        <v>11.48</v>
      </c>
      <c r="L603" s="70">
        <v>-2</v>
      </c>
      <c r="M603" s="68">
        <f t="shared" si="9"/>
        <v>-122.02</v>
      </c>
    </row>
    <row r="604" spans="1:13" x14ac:dyDescent="0.25">
      <c r="A604" s="70">
        <v>2210</v>
      </c>
      <c r="B604" s="70" t="s">
        <v>229</v>
      </c>
      <c r="C604" s="70">
        <v>0</v>
      </c>
      <c r="D604" s="70" t="s">
        <v>1636</v>
      </c>
      <c r="E604" s="70">
        <v>0</v>
      </c>
      <c r="F604" s="70"/>
      <c r="G604" s="70">
        <v>122.22</v>
      </c>
      <c r="H604" s="70">
        <v>4.67</v>
      </c>
      <c r="I604" s="70">
        <v>-7.51</v>
      </c>
      <c r="J604" s="70">
        <v>0.17</v>
      </c>
      <c r="K604" s="70">
        <v>11.47</v>
      </c>
      <c r="L604" s="70">
        <v>-2</v>
      </c>
      <c r="M604" s="68">
        <f t="shared" si="9"/>
        <v>-122.22</v>
      </c>
    </row>
    <row r="605" spans="1:13" x14ac:dyDescent="0.25">
      <c r="A605" s="70">
        <v>2214</v>
      </c>
      <c r="B605" s="70" t="s">
        <v>229</v>
      </c>
      <c r="C605" s="70">
        <v>0</v>
      </c>
      <c r="D605" s="70" t="s">
        <v>1644</v>
      </c>
      <c r="E605" s="70">
        <v>0</v>
      </c>
      <c r="F605" s="70"/>
      <c r="G605" s="70">
        <v>386.72</v>
      </c>
      <c r="H605" s="70">
        <v>-7.33</v>
      </c>
      <c r="I605" s="70">
        <v>-7.51</v>
      </c>
      <c r="J605" s="70">
        <v>-0.34</v>
      </c>
      <c r="K605" s="70">
        <v>2.2200000000000002</v>
      </c>
      <c r="L605" s="70">
        <v>-3.21</v>
      </c>
      <c r="M605" s="68">
        <f t="shared" si="9"/>
        <v>-386.72</v>
      </c>
    </row>
    <row r="606" spans="1:13" x14ac:dyDescent="0.25">
      <c r="A606" s="70">
        <v>1898</v>
      </c>
      <c r="B606" s="70" t="s">
        <v>229</v>
      </c>
      <c r="C606" s="70">
        <v>0</v>
      </c>
      <c r="D606" s="70" t="s">
        <v>1339</v>
      </c>
      <c r="E606" s="70">
        <v>4</v>
      </c>
      <c r="F606" s="70"/>
      <c r="G606" s="70">
        <v>326.89999999999998</v>
      </c>
      <c r="H606" s="70">
        <v>-6.77</v>
      </c>
      <c r="I606" s="70">
        <v>-7.53</v>
      </c>
      <c r="J606" s="70">
        <v>0.23</v>
      </c>
      <c r="K606" s="70">
        <v>11.39</v>
      </c>
      <c r="L606" s="70">
        <v>2.99</v>
      </c>
      <c r="M606" s="68">
        <f t="shared" si="9"/>
        <v>-326.89999999999998</v>
      </c>
    </row>
    <row r="607" spans="1:13" x14ac:dyDescent="0.25">
      <c r="A607" s="70">
        <v>2362</v>
      </c>
      <c r="B607" s="70" t="s">
        <v>229</v>
      </c>
      <c r="C607" s="70">
        <v>0</v>
      </c>
      <c r="D607" s="70" t="s">
        <v>1809</v>
      </c>
      <c r="E607" s="70">
        <v>4</v>
      </c>
      <c r="F607" s="70"/>
      <c r="G607" s="70">
        <v>-762.77</v>
      </c>
      <c r="H607" s="70">
        <v>10.6</v>
      </c>
      <c r="I607" s="70">
        <v>-7.55</v>
      </c>
      <c r="J607" s="70">
        <v>0.3</v>
      </c>
      <c r="K607" s="70">
        <v>-7.31</v>
      </c>
      <c r="L607" s="70">
        <v>-5.18</v>
      </c>
      <c r="M607" s="68">
        <f t="shared" si="9"/>
        <v>762.77</v>
      </c>
    </row>
    <row r="608" spans="1:13" x14ac:dyDescent="0.25">
      <c r="A608" s="70">
        <v>2519</v>
      </c>
      <c r="B608" s="70" t="s">
        <v>229</v>
      </c>
      <c r="C608" s="70">
        <v>0</v>
      </c>
      <c r="D608" s="70" t="s">
        <v>1986</v>
      </c>
      <c r="E608" s="70">
        <v>0</v>
      </c>
      <c r="F608" s="70"/>
      <c r="G608" s="70">
        <v>168.74</v>
      </c>
      <c r="H608" s="70">
        <v>-1.61</v>
      </c>
      <c r="I608" s="70">
        <v>-7.55</v>
      </c>
      <c r="J608" s="70">
        <v>0.08</v>
      </c>
      <c r="K608" s="70">
        <v>3.49</v>
      </c>
      <c r="L608" s="70">
        <v>0.86</v>
      </c>
      <c r="M608" s="68">
        <f t="shared" si="9"/>
        <v>-168.74</v>
      </c>
    </row>
    <row r="609" spans="1:13" x14ac:dyDescent="0.25">
      <c r="A609" s="70">
        <v>67</v>
      </c>
      <c r="B609" s="70" t="s">
        <v>229</v>
      </c>
      <c r="C609" s="70">
        <v>0</v>
      </c>
      <c r="D609" s="70" t="s">
        <v>1160</v>
      </c>
      <c r="E609" s="70">
        <v>0</v>
      </c>
      <c r="F609" s="70"/>
      <c r="G609" s="70">
        <v>-387.87</v>
      </c>
      <c r="H609" s="70">
        <v>-2.54</v>
      </c>
      <c r="I609" s="70">
        <v>-7.57</v>
      </c>
      <c r="J609" s="70">
        <v>0.1</v>
      </c>
      <c r="K609" s="70">
        <v>-6.16</v>
      </c>
      <c r="L609" s="70">
        <v>-1.27</v>
      </c>
      <c r="M609" s="68">
        <f t="shared" si="9"/>
        <v>387.87</v>
      </c>
    </row>
    <row r="610" spans="1:13" x14ac:dyDescent="0.25">
      <c r="A610" s="70">
        <v>2309</v>
      </c>
      <c r="B610" s="70" t="s">
        <v>229</v>
      </c>
      <c r="C610" s="70">
        <v>0</v>
      </c>
      <c r="D610" s="70" t="s">
        <v>1764</v>
      </c>
      <c r="E610" s="70">
        <v>0</v>
      </c>
      <c r="F610" s="70"/>
      <c r="G610" s="70">
        <v>417.16</v>
      </c>
      <c r="H610" s="70">
        <v>-7.36</v>
      </c>
      <c r="I610" s="70">
        <v>-7.57</v>
      </c>
      <c r="J610" s="70">
        <v>-0.41</v>
      </c>
      <c r="K610" s="70">
        <v>9.34</v>
      </c>
      <c r="L610" s="70">
        <v>-4</v>
      </c>
      <c r="M610" s="68">
        <f t="shared" si="9"/>
        <v>-417.16</v>
      </c>
    </row>
    <row r="611" spans="1:13" x14ac:dyDescent="0.25">
      <c r="A611" s="70">
        <v>2382</v>
      </c>
      <c r="B611" s="70" t="s">
        <v>229</v>
      </c>
      <c r="C611" s="70">
        <v>0</v>
      </c>
      <c r="D611" s="70" t="s">
        <v>1845</v>
      </c>
      <c r="E611" s="70">
        <v>4</v>
      </c>
      <c r="F611" s="70"/>
      <c r="G611" s="70">
        <v>278.26</v>
      </c>
      <c r="H611" s="70">
        <v>-5.84</v>
      </c>
      <c r="I611" s="70">
        <v>-7.61</v>
      </c>
      <c r="J611" s="70">
        <v>0.19</v>
      </c>
      <c r="K611" s="70">
        <v>18.329999999999998</v>
      </c>
      <c r="L611" s="70">
        <v>2.57</v>
      </c>
      <c r="M611" s="68">
        <f t="shared" si="9"/>
        <v>-278.26</v>
      </c>
    </row>
    <row r="612" spans="1:13" x14ac:dyDescent="0.25">
      <c r="A612" s="70">
        <v>2417</v>
      </c>
      <c r="B612" s="70" t="s">
        <v>229</v>
      </c>
      <c r="C612" s="70">
        <v>0</v>
      </c>
      <c r="D612" s="70" t="s">
        <v>1853</v>
      </c>
      <c r="E612" s="70">
        <v>4</v>
      </c>
      <c r="F612" s="70"/>
      <c r="G612" s="70">
        <v>135.22999999999999</v>
      </c>
      <c r="H612" s="70">
        <v>4.66</v>
      </c>
      <c r="I612" s="70">
        <v>-7.63</v>
      </c>
      <c r="J612" s="70">
        <v>0.17</v>
      </c>
      <c r="K612" s="70">
        <v>17.739999999999998</v>
      </c>
      <c r="L612" s="70">
        <v>-2.71</v>
      </c>
      <c r="M612" s="68">
        <f t="shared" si="9"/>
        <v>-135.22999999999999</v>
      </c>
    </row>
    <row r="613" spans="1:13" x14ac:dyDescent="0.25">
      <c r="A613" s="70">
        <v>15</v>
      </c>
      <c r="B613" s="70" t="s">
        <v>229</v>
      </c>
      <c r="C613" s="70">
        <v>0</v>
      </c>
      <c r="D613" s="70" t="s">
        <v>1122</v>
      </c>
      <c r="E613" s="70">
        <v>0</v>
      </c>
      <c r="F613" s="70"/>
      <c r="G613" s="70">
        <v>168.95</v>
      </c>
      <c r="H613" s="70">
        <v>-1.62</v>
      </c>
      <c r="I613" s="70">
        <v>-7.64</v>
      </c>
      <c r="J613" s="70">
        <v>0.08</v>
      </c>
      <c r="K613" s="70">
        <v>3.46</v>
      </c>
      <c r="L613" s="70">
        <v>-0.86</v>
      </c>
      <c r="M613" s="68">
        <f t="shared" si="9"/>
        <v>-168.95</v>
      </c>
    </row>
    <row r="614" spans="1:13" x14ac:dyDescent="0.25">
      <c r="A614" s="70">
        <v>2292</v>
      </c>
      <c r="B614" s="70" t="s">
        <v>229</v>
      </c>
      <c r="C614" s="70">
        <v>0</v>
      </c>
      <c r="D614" s="70" t="s">
        <v>1734</v>
      </c>
      <c r="E614" s="70">
        <v>0</v>
      </c>
      <c r="F614" s="70"/>
      <c r="G614" s="70">
        <v>-662.63</v>
      </c>
      <c r="H614" s="70">
        <v>-11.33</v>
      </c>
      <c r="I614" s="70">
        <v>-7.71</v>
      </c>
      <c r="J614" s="70">
        <v>0.31</v>
      </c>
      <c r="K614" s="70">
        <v>-11.98</v>
      </c>
      <c r="L614" s="70">
        <v>-5.88</v>
      </c>
      <c r="M614" s="68">
        <f t="shared" si="9"/>
        <v>662.63</v>
      </c>
    </row>
    <row r="615" spans="1:13" x14ac:dyDescent="0.25">
      <c r="A615" s="70">
        <v>2420</v>
      </c>
      <c r="B615" s="70" t="s">
        <v>229</v>
      </c>
      <c r="C615" s="70">
        <v>0</v>
      </c>
      <c r="D615" s="70" t="s">
        <v>1858</v>
      </c>
      <c r="E615" s="70">
        <v>0</v>
      </c>
      <c r="F615" s="70"/>
      <c r="G615" s="70">
        <v>354.74</v>
      </c>
      <c r="H615" s="70">
        <v>-7.16</v>
      </c>
      <c r="I615" s="70">
        <v>-7.78</v>
      </c>
      <c r="J615" s="70">
        <v>-0.27</v>
      </c>
      <c r="K615" s="70">
        <v>5.73</v>
      </c>
      <c r="L615" s="70">
        <v>-3.14</v>
      </c>
      <c r="M615" s="68">
        <f t="shared" si="9"/>
        <v>-354.74</v>
      </c>
    </row>
    <row r="616" spans="1:13" x14ac:dyDescent="0.25">
      <c r="A616" s="70">
        <v>2146</v>
      </c>
      <c r="B616" s="70" t="s">
        <v>229</v>
      </c>
      <c r="C616" s="70">
        <v>0</v>
      </c>
      <c r="D616" s="70" t="s">
        <v>1574</v>
      </c>
      <c r="E616" s="70">
        <v>0</v>
      </c>
      <c r="F616" s="70"/>
      <c r="G616" s="70">
        <v>413.67</v>
      </c>
      <c r="H616" s="70">
        <v>-7.36</v>
      </c>
      <c r="I616" s="70">
        <v>-7.79</v>
      </c>
      <c r="J616" s="70">
        <v>-0.42</v>
      </c>
      <c r="K616" s="70">
        <v>4.29</v>
      </c>
      <c r="L616" s="70">
        <v>-3.31</v>
      </c>
      <c r="M616" s="68">
        <f t="shared" si="9"/>
        <v>-413.67</v>
      </c>
    </row>
    <row r="617" spans="1:13" x14ac:dyDescent="0.25">
      <c r="A617" s="70">
        <v>1868</v>
      </c>
      <c r="B617" s="70" t="s">
        <v>229</v>
      </c>
      <c r="C617" s="70">
        <v>0</v>
      </c>
      <c r="D617" s="70" t="s">
        <v>1282</v>
      </c>
      <c r="E617" s="70">
        <v>0</v>
      </c>
      <c r="F617" s="70"/>
      <c r="G617" s="70">
        <v>354.38</v>
      </c>
      <c r="H617" s="70">
        <v>7.19</v>
      </c>
      <c r="I617" s="70">
        <v>-7.8</v>
      </c>
      <c r="J617" s="70">
        <v>0.27</v>
      </c>
      <c r="K617" s="70">
        <v>5.74</v>
      </c>
      <c r="L617" s="70">
        <v>3.14</v>
      </c>
      <c r="M617" s="68">
        <f t="shared" si="9"/>
        <v>-354.38</v>
      </c>
    </row>
    <row r="618" spans="1:13" x14ac:dyDescent="0.25">
      <c r="A618" s="70">
        <v>1963</v>
      </c>
      <c r="B618" s="70" t="s">
        <v>229</v>
      </c>
      <c r="C618" s="70">
        <v>0</v>
      </c>
      <c r="D618" s="70" t="s">
        <v>1402</v>
      </c>
      <c r="E618" s="70">
        <v>0</v>
      </c>
      <c r="F618" s="70"/>
      <c r="G618" s="70">
        <v>400.07</v>
      </c>
      <c r="H618" s="70">
        <v>-7.38</v>
      </c>
      <c r="I618" s="70">
        <v>-7.83</v>
      </c>
      <c r="J618" s="70">
        <v>-0.49</v>
      </c>
      <c r="K618" s="70">
        <v>10.4</v>
      </c>
      <c r="L618" s="70">
        <v>-3.92</v>
      </c>
      <c r="M618" s="68">
        <f t="shared" si="9"/>
        <v>-400.07</v>
      </c>
    </row>
    <row r="619" spans="1:13" x14ac:dyDescent="0.25">
      <c r="A619" s="70">
        <v>1830</v>
      </c>
      <c r="B619" s="70" t="s">
        <v>229</v>
      </c>
      <c r="C619" s="70">
        <v>0</v>
      </c>
      <c r="D619" s="70" t="s">
        <v>1269</v>
      </c>
      <c r="E619" s="70">
        <v>4</v>
      </c>
      <c r="F619" s="70"/>
      <c r="G619" s="70">
        <v>278.48</v>
      </c>
      <c r="H619" s="70">
        <v>-5.87</v>
      </c>
      <c r="I619" s="70">
        <v>-7.84</v>
      </c>
      <c r="J619" s="70">
        <v>0.19</v>
      </c>
      <c r="K619" s="70">
        <v>18.28</v>
      </c>
      <c r="L619" s="70">
        <v>2.58</v>
      </c>
      <c r="M619" s="68">
        <f t="shared" si="9"/>
        <v>-278.48</v>
      </c>
    </row>
    <row r="620" spans="1:13" x14ac:dyDescent="0.25">
      <c r="A620" s="70">
        <v>2016</v>
      </c>
      <c r="B620" s="70" t="s">
        <v>229</v>
      </c>
      <c r="C620" s="70">
        <v>0</v>
      </c>
      <c r="D620" s="70" t="s">
        <v>1446</v>
      </c>
      <c r="E620" s="70">
        <v>0</v>
      </c>
      <c r="F620" s="70"/>
      <c r="G620" s="70">
        <v>-662.49</v>
      </c>
      <c r="H620" s="70">
        <v>-11.36</v>
      </c>
      <c r="I620" s="70">
        <v>-7.84</v>
      </c>
      <c r="J620" s="70">
        <v>0.3</v>
      </c>
      <c r="K620" s="70">
        <v>-12.05</v>
      </c>
      <c r="L620" s="70">
        <v>-5.9</v>
      </c>
      <c r="M620" s="68">
        <f t="shared" si="9"/>
        <v>662.49</v>
      </c>
    </row>
    <row r="621" spans="1:13" x14ac:dyDescent="0.25">
      <c r="A621" s="70">
        <v>64</v>
      </c>
      <c r="B621" s="70" t="s">
        <v>229</v>
      </c>
      <c r="C621" s="70">
        <v>0</v>
      </c>
      <c r="D621" s="70" t="s">
        <v>1154</v>
      </c>
      <c r="E621" s="70">
        <v>0</v>
      </c>
      <c r="F621" s="70"/>
      <c r="G621" s="70">
        <v>-221.16</v>
      </c>
      <c r="H621" s="70">
        <v>-2.36</v>
      </c>
      <c r="I621" s="70">
        <v>-7.87</v>
      </c>
      <c r="J621" s="70">
        <v>-0.14000000000000001</v>
      </c>
      <c r="K621" s="70">
        <v>-8.57</v>
      </c>
      <c r="L621" s="70">
        <v>-1.21</v>
      </c>
      <c r="M621" s="68">
        <f t="shared" si="9"/>
        <v>221.16</v>
      </c>
    </row>
    <row r="622" spans="1:13" x14ac:dyDescent="0.25">
      <c r="A622" s="70">
        <v>1865</v>
      </c>
      <c r="B622" s="70" t="s">
        <v>229</v>
      </c>
      <c r="C622" s="70">
        <v>0</v>
      </c>
      <c r="D622" s="70" t="s">
        <v>1277</v>
      </c>
      <c r="E622" s="70">
        <v>4</v>
      </c>
      <c r="F622" s="70"/>
      <c r="G622" s="70">
        <v>134.74</v>
      </c>
      <c r="H622" s="70">
        <v>4.68</v>
      </c>
      <c r="I622" s="70">
        <v>-7.87</v>
      </c>
      <c r="J622" s="70">
        <v>0.17</v>
      </c>
      <c r="K622" s="70">
        <v>17.7</v>
      </c>
      <c r="L622" s="70">
        <v>-2.72</v>
      </c>
      <c r="M622" s="68">
        <f t="shared" si="9"/>
        <v>-134.74</v>
      </c>
    </row>
    <row r="623" spans="1:13" x14ac:dyDescent="0.25">
      <c r="A623" s="70">
        <v>2566</v>
      </c>
      <c r="B623" s="70" t="s">
        <v>229</v>
      </c>
      <c r="C623" s="70">
        <v>0</v>
      </c>
      <c r="D623" s="70" t="s">
        <v>2018</v>
      </c>
      <c r="E623" s="70">
        <v>0</v>
      </c>
      <c r="F623" s="70"/>
      <c r="G623" s="70">
        <v>-221.86</v>
      </c>
      <c r="H623" s="70">
        <v>-2.35</v>
      </c>
      <c r="I623" s="70">
        <v>-7.91</v>
      </c>
      <c r="J623" s="70">
        <v>-0.14000000000000001</v>
      </c>
      <c r="K623" s="70">
        <v>-8.5399999999999991</v>
      </c>
      <c r="L623" s="70">
        <v>-1.2</v>
      </c>
      <c r="M623" s="68">
        <f t="shared" si="9"/>
        <v>221.86</v>
      </c>
    </row>
    <row r="624" spans="1:13" x14ac:dyDescent="0.25">
      <c r="A624" s="70">
        <v>2242</v>
      </c>
      <c r="B624" s="70" t="s">
        <v>229</v>
      </c>
      <c r="C624" s="70">
        <v>0</v>
      </c>
      <c r="D624" s="70" t="s">
        <v>1696</v>
      </c>
      <c r="E624" s="70">
        <v>0</v>
      </c>
      <c r="F624" s="70"/>
      <c r="G624" s="70">
        <v>358.54</v>
      </c>
      <c r="H624" s="70">
        <v>7.21</v>
      </c>
      <c r="I624" s="70">
        <v>-7.97</v>
      </c>
      <c r="J624" s="70">
        <v>0.27</v>
      </c>
      <c r="K624" s="70">
        <v>2.95</v>
      </c>
      <c r="L624" s="70">
        <v>4.05</v>
      </c>
      <c r="M624" s="68">
        <f t="shared" si="9"/>
        <v>-358.54</v>
      </c>
    </row>
    <row r="625" spans="1:13" x14ac:dyDescent="0.25">
      <c r="A625" s="70">
        <v>1966</v>
      </c>
      <c r="B625" s="70" t="s">
        <v>229</v>
      </c>
      <c r="C625" s="70">
        <v>0</v>
      </c>
      <c r="D625" s="70" t="s">
        <v>1408</v>
      </c>
      <c r="E625" s="70">
        <v>0</v>
      </c>
      <c r="F625" s="70"/>
      <c r="G625" s="70">
        <v>358.96</v>
      </c>
      <c r="H625" s="70">
        <v>-7.19</v>
      </c>
      <c r="I625" s="70">
        <v>-7.98</v>
      </c>
      <c r="J625" s="70">
        <v>-0.27</v>
      </c>
      <c r="K625" s="70">
        <v>2.99</v>
      </c>
      <c r="L625" s="70">
        <v>-4.04</v>
      </c>
      <c r="M625" s="68">
        <f t="shared" si="9"/>
        <v>-358.96</v>
      </c>
    </row>
    <row r="626" spans="1:13" x14ac:dyDescent="0.25">
      <c r="A626" s="70">
        <v>2100</v>
      </c>
      <c r="B626" s="70" t="s">
        <v>229</v>
      </c>
      <c r="C626" s="70">
        <v>0</v>
      </c>
      <c r="D626" s="70" t="s">
        <v>1544</v>
      </c>
      <c r="E626" s="70">
        <v>0</v>
      </c>
      <c r="F626" s="70"/>
      <c r="G626" s="70">
        <v>321.19</v>
      </c>
      <c r="H626" s="70">
        <v>-7.38</v>
      </c>
      <c r="I626" s="70">
        <v>-7.98</v>
      </c>
      <c r="J626" s="70">
        <v>-0.55000000000000004</v>
      </c>
      <c r="K626" s="70">
        <v>6.38</v>
      </c>
      <c r="L626" s="70">
        <v>-3.81</v>
      </c>
      <c r="M626" s="68">
        <f t="shared" si="9"/>
        <v>-321.19</v>
      </c>
    </row>
    <row r="627" spans="1:13" x14ac:dyDescent="0.25">
      <c r="A627" s="70">
        <v>2239</v>
      </c>
      <c r="B627" s="70" t="s">
        <v>229</v>
      </c>
      <c r="C627" s="70">
        <v>0</v>
      </c>
      <c r="D627" s="70" t="s">
        <v>1690</v>
      </c>
      <c r="E627" s="70">
        <v>0</v>
      </c>
      <c r="F627" s="70"/>
      <c r="G627" s="70">
        <v>399.37</v>
      </c>
      <c r="H627" s="70">
        <v>-7.36</v>
      </c>
      <c r="I627" s="70">
        <v>-7.98</v>
      </c>
      <c r="J627" s="70">
        <v>-0.49</v>
      </c>
      <c r="K627" s="70">
        <v>10.35</v>
      </c>
      <c r="L627" s="70">
        <v>-3.91</v>
      </c>
      <c r="M627" s="68">
        <f t="shared" si="9"/>
        <v>-399.37</v>
      </c>
    </row>
    <row r="628" spans="1:13" x14ac:dyDescent="0.25">
      <c r="A628" s="70">
        <v>1888</v>
      </c>
      <c r="B628" s="70" t="s">
        <v>229</v>
      </c>
      <c r="C628" s="70">
        <v>0</v>
      </c>
      <c r="D628" s="70" t="s">
        <v>1318</v>
      </c>
      <c r="E628" s="70">
        <v>0</v>
      </c>
      <c r="F628" s="70"/>
      <c r="G628" s="70">
        <v>-569.77</v>
      </c>
      <c r="H628" s="70">
        <v>-10.83</v>
      </c>
      <c r="I628" s="70">
        <v>-8.1</v>
      </c>
      <c r="J628" s="70">
        <v>0.33</v>
      </c>
      <c r="K628" s="70">
        <v>-13.62</v>
      </c>
      <c r="L628" s="70">
        <v>5.05</v>
      </c>
      <c r="M628" s="68">
        <f t="shared" si="9"/>
        <v>569.77</v>
      </c>
    </row>
    <row r="629" spans="1:13" x14ac:dyDescent="0.25">
      <c r="A629" s="70">
        <v>2302</v>
      </c>
      <c r="B629" s="70" t="s">
        <v>229</v>
      </c>
      <c r="C629" s="70">
        <v>0</v>
      </c>
      <c r="D629" s="70" t="s">
        <v>1750</v>
      </c>
      <c r="E629" s="70">
        <v>0</v>
      </c>
      <c r="F629" s="70"/>
      <c r="G629" s="70">
        <v>-568.28</v>
      </c>
      <c r="H629" s="70">
        <v>-10.87</v>
      </c>
      <c r="I629" s="70">
        <v>-8.1</v>
      </c>
      <c r="J629" s="70">
        <v>0.33</v>
      </c>
      <c r="K629" s="70">
        <v>-13.59</v>
      </c>
      <c r="L629" s="70">
        <v>-5.07</v>
      </c>
      <c r="M629" s="68">
        <f t="shared" si="9"/>
        <v>568.28</v>
      </c>
    </row>
    <row r="630" spans="1:13" x14ac:dyDescent="0.25">
      <c r="A630" s="70">
        <v>2279</v>
      </c>
      <c r="B630" s="70" t="s">
        <v>229</v>
      </c>
      <c r="C630" s="70">
        <v>0</v>
      </c>
      <c r="D630" s="70" t="s">
        <v>1708</v>
      </c>
      <c r="E630" s="70">
        <v>0</v>
      </c>
      <c r="F630" s="70"/>
      <c r="G630" s="70">
        <v>124.21</v>
      </c>
      <c r="H630" s="70">
        <v>4.66</v>
      </c>
      <c r="I630" s="70">
        <v>-8.2799999999999994</v>
      </c>
      <c r="J630" s="70">
        <v>0.17</v>
      </c>
      <c r="K630" s="70">
        <v>11.62</v>
      </c>
      <c r="L630" s="70">
        <v>-2</v>
      </c>
      <c r="M630" s="68">
        <f t="shared" si="9"/>
        <v>-124.21</v>
      </c>
    </row>
    <row r="631" spans="1:13" x14ac:dyDescent="0.25">
      <c r="A631" s="70">
        <v>57</v>
      </c>
      <c r="B631" s="70" t="s">
        <v>229</v>
      </c>
      <c r="C631" s="70">
        <v>0</v>
      </c>
      <c r="D631" s="70" t="s">
        <v>1140</v>
      </c>
      <c r="E631" s="70">
        <v>0</v>
      </c>
      <c r="F631" s="70"/>
      <c r="G631" s="70">
        <v>197.1</v>
      </c>
      <c r="H631" s="70">
        <v>-1.75</v>
      </c>
      <c r="I631" s="70">
        <v>-8.2899999999999991</v>
      </c>
      <c r="J631" s="70">
        <v>-0.12</v>
      </c>
      <c r="K631" s="70">
        <v>3.22</v>
      </c>
      <c r="L631" s="70">
        <v>-0.81</v>
      </c>
      <c r="M631" s="68">
        <f t="shared" si="9"/>
        <v>-197.1</v>
      </c>
    </row>
    <row r="632" spans="1:13" x14ac:dyDescent="0.25">
      <c r="A632" s="70">
        <v>2003</v>
      </c>
      <c r="B632" s="70" t="s">
        <v>229</v>
      </c>
      <c r="C632" s="70">
        <v>0</v>
      </c>
      <c r="D632" s="70" t="s">
        <v>1420</v>
      </c>
      <c r="E632" s="70">
        <v>0</v>
      </c>
      <c r="F632" s="70"/>
      <c r="G632" s="70">
        <v>124</v>
      </c>
      <c r="H632" s="70">
        <v>4.68</v>
      </c>
      <c r="I632" s="70">
        <v>-8.32</v>
      </c>
      <c r="J632" s="70">
        <v>0.17</v>
      </c>
      <c r="K632" s="70">
        <v>11.64</v>
      </c>
      <c r="L632" s="70">
        <v>-2</v>
      </c>
      <c r="M632" s="68">
        <f t="shared" si="9"/>
        <v>-124</v>
      </c>
    </row>
    <row r="633" spans="1:13" x14ac:dyDescent="0.25">
      <c r="A633" s="70">
        <v>2559</v>
      </c>
      <c r="B633" s="70" t="s">
        <v>229</v>
      </c>
      <c r="C633" s="70">
        <v>0</v>
      </c>
      <c r="D633" s="70" t="s">
        <v>2004</v>
      </c>
      <c r="E633" s="70">
        <v>0</v>
      </c>
      <c r="F633" s="70"/>
      <c r="G633" s="70">
        <v>197.43</v>
      </c>
      <c r="H633" s="70">
        <v>-1.76</v>
      </c>
      <c r="I633" s="70">
        <v>-8.3800000000000008</v>
      </c>
      <c r="J633" s="70">
        <v>-0.12</v>
      </c>
      <c r="K633" s="70">
        <v>3.18</v>
      </c>
      <c r="L633" s="70">
        <v>-0.82</v>
      </c>
      <c r="M633" s="68">
        <f t="shared" si="9"/>
        <v>-197.43</v>
      </c>
    </row>
    <row r="634" spans="1:13" x14ac:dyDescent="0.25">
      <c r="A634" s="70">
        <v>2106</v>
      </c>
      <c r="B634" s="70" t="s">
        <v>229</v>
      </c>
      <c r="C634" s="70">
        <v>0</v>
      </c>
      <c r="D634" s="70" t="s">
        <v>1556</v>
      </c>
      <c r="E634" s="70">
        <v>0</v>
      </c>
      <c r="F634" s="70"/>
      <c r="G634" s="70">
        <v>277.14</v>
      </c>
      <c r="H634" s="70">
        <v>-5.86</v>
      </c>
      <c r="I634" s="70">
        <v>-8.49</v>
      </c>
      <c r="J634" s="70">
        <v>0.19</v>
      </c>
      <c r="K634" s="70">
        <v>11.21</v>
      </c>
      <c r="L634" s="70">
        <v>-3.32</v>
      </c>
      <c r="M634" s="68">
        <f t="shared" si="9"/>
        <v>-277.14</v>
      </c>
    </row>
    <row r="635" spans="1:13" x14ac:dyDescent="0.25">
      <c r="A635" s="70">
        <v>2486</v>
      </c>
      <c r="B635" s="70" t="s">
        <v>229</v>
      </c>
      <c r="C635" s="70">
        <v>0</v>
      </c>
      <c r="D635" s="70" t="s">
        <v>1925</v>
      </c>
      <c r="E635" s="70">
        <v>4</v>
      </c>
      <c r="F635" s="70"/>
      <c r="G635" s="70">
        <v>137.33000000000001</v>
      </c>
      <c r="H635" s="70">
        <v>4.66</v>
      </c>
      <c r="I635" s="70">
        <v>-8.52</v>
      </c>
      <c r="J635" s="70">
        <v>0.17</v>
      </c>
      <c r="K635" s="70">
        <v>17.899999999999999</v>
      </c>
      <c r="L635" s="70">
        <v>-2.71</v>
      </c>
      <c r="M635" s="68">
        <f t="shared" si="9"/>
        <v>-137.33000000000001</v>
      </c>
    </row>
    <row r="636" spans="1:13" x14ac:dyDescent="0.25">
      <c r="A636" s="70">
        <v>2381</v>
      </c>
      <c r="B636" s="70" t="s">
        <v>229</v>
      </c>
      <c r="C636" s="70">
        <v>0</v>
      </c>
      <c r="D636" s="70" t="s">
        <v>1843</v>
      </c>
      <c r="E636" s="70">
        <v>4</v>
      </c>
      <c r="F636" s="70"/>
      <c r="G636" s="70">
        <v>328.5</v>
      </c>
      <c r="H636" s="70">
        <v>-6.73</v>
      </c>
      <c r="I636" s="70">
        <v>-8.59</v>
      </c>
      <c r="J636" s="70">
        <v>0.23</v>
      </c>
      <c r="K636" s="70">
        <v>11.49</v>
      </c>
      <c r="L636" s="70">
        <v>2.98</v>
      </c>
      <c r="M636" s="68">
        <f t="shared" si="9"/>
        <v>-328.5</v>
      </c>
    </row>
    <row r="637" spans="1:13" x14ac:dyDescent="0.25">
      <c r="A637" s="70">
        <v>1879</v>
      </c>
      <c r="B637" s="70" t="s">
        <v>229</v>
      </c>
      <c r="C637" s="70">
        <v>0</v>
      </c>
      <c r="D637" s="70" t="s">
        <v>1305</v>
      </c>
      <c r="E637" s="70">
        <v>4</v>
      </c>
      <c r="F637" s="70"/>
      <c r="G637" s="70">
        <v>-768.85</v>
      </c>
      <c r="H637" s="70">
        <v>-10.61</v>
      </c>
      <c r="I637" s="70">
        <v>-8.64</v>
      </c>
      <c r="J637" s="70">
        <v>0.3</v>
      </c>
      <c r="K637" s="70">
        <v>-7.95</v>
      </c>
      <c r="L637" s="70">
        <v>5.19</v>
      </c>
      <c r="M637" s="68">
        <f t="shared" si="9"/>
        <v>768.85</v>
      </c>
    </row>
    <row r="638" spans="1:13" x14ac:dyDescent="0.25">
      <c r="A638" s="70">
        <v>2431</v>
      </c>
      <c r="B638" s="70" t="s">
        <v>229</v>
      </c>
      <c r="C638" s="70">
        <v>0</v>
      </c>
      <c r="D638" s="70" t="s">
        <v>1881</v>
      </c>
      <c r="E638" s="70">
        <v>4</v>
      </c>
      <c r="F638" s="70"/>
      <c r="G638" s="70">
        <v>-770.7</v>
      </c>
      <c r="H638" s="70">
        <v>10.6</v>
      </c>
      <c r="I638" s="70">
        <v>-8.66</v>
      </c>
      <c r="J638" s="70">
        <v>0.3</v>
      </c>
      <c r="K638" s="70">
        <v>-8.0399999999999991</v>
      </c>
      <c r="L638" s="70">
        <v>-5.18</v>
      </c>
      <c r="M638" s="68">
        <f t="shared" si="9"/>
        <v>770.7</v>
      </c>
    </row>
    <row r="639" spans="1:13" x14ac:dyDescent="0.25">
      <c r="A639" s="70">
        <v>2451</v>
      </c>
      <c r="B639" s="70" t="s">
        <v>229</v>
      </c>
      <c r="C639" s="70">
        <v>0</v>
      </c>
      <c r="D639" s="70" t="s">
        <v>1917</v>
      </c>
      <c r="E639" s="70">
        <v>4</v>
      </c>
      <c r="F639" s="70"/>
      <c r="G639" s="70">
        <v>280.22000000000003</v>
      </c>
      <c r="H639" s="70">
        <v>-5.84</v>
      </c>
      <c r="I639" s="70">
        <v>-8.68</v>
      </c>
      <c r="J639" s="70">
        <v>0.19</v>
      </c>
      <c r="K639" s="70">
        <v>18.46</v>
      </c>
      <c r="L639" s="70">
        <v>2.57</v>
      </c>
      <c r="M639" s="68">
        <f t="shared" si="9"/>
        <v>-280.22000000000003</v>
      </c>
    </row>
    <row r="640" spans="1:13" x14ac:dyDescent="0.25">
      <c r="A640" s="70">
        <v>2037</v>
      </c>
      <c r="B640" s="70" t="s">
        <v>229</v>
      </c>
      <c r="C640" s="70">
        <v>0</v>
      </c>
      <c r="D640" s="70" t="s">
        <v>1484</v>
      </c>
      <c r="E640" s="70">
        <v>0</v>
      </c>
      <c r="F640" s="70"/>
      <c r="G640" s="70">
        <v>279.02</v>
      </c>
      <c r="H640" s="70">
        <v>-5.86</v>
      </c>
      <c r="I640" s="70">
        <v>-8.7200000000000006</v>
      </c>
      <c r="J640" s="70">
        <v>0.19</v>
      </c>
      <c r="K640" s="70">
        <v>11.32</v>
      </c>
      <c r="L640" s="70">
        <v>-3.32</v>
      </c>
      <c r="M640" s="68">
        <f t="shared" si="9"/>
        <v>-279.02</v>
      </c>
    </row>
    <row r="641" spans="1:13" x14ac:dyDescent="0.25">
      <c r="A641" s="70">
        <v>2155</v>
      </c>
      <c r="B641" s="70" t="s">
        <v>229</v>
      </c>
      <c r="C641" s="70">
        <v>0</v>
      </c>
      <c r="D641" s="70" t="s">
        <v>1592</v>
      </c>
      <c r="E641" s="70">
        <v>0</v>
      </c>
      <c r="F641" s="70"/>
      <c r="G641" s="70">
        <v>-732.72</v>
      </c>
      <c r="H641" s="70">
        <v>-10.59</v>
      </c>
      <c r="I641" s="70">
        <v>-8.7200000000000006</v>
      </c>
      <c r="J641" s="70">
        <v>0.3</v>
      </c>
      <c r="K641" s="70">
        <v>-8.4</v>
      </c>
      <c r="L641" s="70">
        <v>-5.35</v>
      </c>
      <c r="M641" s="68">
        <f t="shared" si="9"/>
        <v>732.72</v>
      </c>
    </row>
    <row r="642" spans="1:13" x14ac:dyDescent="0.25">
      <c r="A642" s="70">
        <v>1829</v>
      </c>
      <c r="B642" s="70" t="s">
        <v>229</v>
      </c>
      <c r="C642" s="70">
        <v>0</v>
      </c>
      <c r="D642" s="70" t="s">
        <v>1267</v>
      </c>
      <c r="E642" s="70">
        <v>4</v>
      </c>
      <c r="F642" s="70"/>
      <c r="G642" s="70">
        <v>328.78</v>
      </c>
      <c r="H642" s="70">
        <v>-6.77</v>
      </c>
      <c r="I642" s="70">
        <v>-8.73</v>
      </c>
      <c r="J642" s="70">
        <v>0.23</v>
      </c>
      <c r="K642" s="70">
        <v>11.61</v>
      </c>
      <c r="L642" s="70">
        <v>2.99</v>
      </c>
      <c r="M642" s="68">
        <f t="shared" ref="M642:M705" si="10">G642*-1</f>
        <v>-328.78</v>
      </c>
    </row>
    <row r="643" spans="1:13" x14ac:dyDescent="0.25">
      <c r="A643" s="70">
        <v>1958</v>
      </c>
      <c r="B643" s="70" t="s">
        <v>229</v>
      </c>
      <c r="C643" s="70">
        <v>0</v>
      </c>
      <c r="D643" s="70" t="s">
        <v>1392</v>
      </c>
      <c r="E643" s="70">
        <v>0</v>
      </c>
      <c r="F643" s="70"/>
      <c r="G643" s="70">
        <v>-425.74</v>
      </c>
      <c r="H643" s="70">
        <v>-9.82</v>
      </c>
      <c r="I643" s="70">
        <v>-8.74</v>
      </c>
      <c r="J643" s="70">
        <v>-0.41</v>
      </c>
      <c r="K643" s="70">
        <v>-14.42</v>
      </c>
      <c r="L643" s="70">
        <v>-4.58</v>
      </c>
      <c r="M643" s="68">
        <f t="shared" si="10"/>
        <v>425.74</v>
      </c>
    </row>
    <row r="644" spans="1:13" x14ac:dyDescent="0.25">
      <c r="A644" s="70">
        <v>2097</v>
      </c>
      <c r="B644" s="70" t="s">
        <v>229</v>
      </c>
      <c r="C644" s="70">
        <v>0</v>
      </c>
      <c r="D644" s="70" t="s">
        <v>1538</v>
      </c>
      <c r="E644" s="70">
        <v>0</v>
      </c>
      <c r="F644" s="70"/>
      <c r="G644" s="70">
        <v>-243.26</v>
      </c>
      <c r="H644" s="70">
        <v>-8.92</v>
      </c>
      <c r="I644" s="70">
        <v>-8.76</v>
      </c>
      <c r="J644" s="70">
        <v>-0.52</v>
      </c>
      <c r="K644" s="70">
        <v>-12.34</v>
      </c>
      <c r="L644" s="70">
        <v>-4.16</v>
      </c>
      <c r="M644" s="68">
        <f t="shared" si="10"/>
        <v>243.26</v>
      </c>
    </row>
    <row r="645" spans="1:13" x14ac:dyDescent="0.25">
      <c r="A645" s="70">
        <v>2175</v>
      </c>
      <c r="B645" s="70" t="s">
        <v>229</v>
      </c>
      <c r="C645" s="70">
        <v>0</v>
      </c>
      <c r="D645" s="70" t="s">
        <v>1628</v>
      </c>
      <c r="E645" s="70">
        <v>0</v>
      </c>
      <c r="F645" s="70"/>
      <c r="G645" s="70">
        <v>278.7</v>
      </c>
      <c r="H645" s="70">
        <v>-5.85</v>
      </c>
      <c r="I645" s="70">
        <v>-8.76</v>
      </c>
      <c r="J645" s="70">
        <v>0.19</v>
      </c>
      <c r="K645" s="70">
        <v>11.31</v>
      </c>
      <c r="L645" s="70">
        <v>-3.31</v>
      </c>
      <c r="M645" s="68">
        <f t="shared" si="10"/>
        <v>-278.7</v>
      </c>
    </row>
    <row r="646" spans="1:13" x14ac:dyDescent="0.25">
      <c r="A646" s="70">
        <v>2234</v>
      </c>
      <c r="B646" s="70" t="s">
        <v>229</v>
      </c>
      <c r="C646" s="70">
        <v>0</v>
      </c>
      <c r="D646" s="70" t="s">
        <v>1680</v>
      </c>
      <c r="E646" s="70">
        <v>0</v>
      </c>
      <c r="F646" s="70"/>
      <c r="G646" s="70">
        <v>-423.8</v>
      </c>
      <c r="H646" s="70">
        <v>-9.85</v>
      </c>
      <c r="I646" s="70">
        <v>-8.76</v>
      </c>
      <c r="J646" s="70">
        <v>-0.41</v>
      </c>
      <c r="K646" s="70">
        <v>-14.34</v>
      </c>
      <c r="L646" s="70">
        <v>-4.59</v>
      </c>
      <c r="M646" s="68">
        <f t="shared" si="10"/>
        <v>423.8</v>
      </c>
    </row>
    <row r="647" spans="1:13" x14ac:dyDescent="0.25">
      <c r="A647" s="70">
        <v>6</v>
      </c>
      <c r="B647" s="70" t="s">
        <v>229</v>
      </c>
      <c r="C647" s="70">
        <v>0</v>
      </c>
      <c r="D647" s="70" t="s">
        <v>1104</v>
      </c>
      <c r="E647" s="70">
        <v>0</v>
      </c>
      <c r="F647" s="70"/>
      <c r="G647" s="70">
        <v>-225.18</v>
      </c>
      <c r="H647" s="70">
        <v>-2.35</v>
      </c>
      <c r="I647" s="70">
        <v>-8.8699999999999992</v>
      </c>
      <c r="J647" s="70">
        <v>-0.14000000000000001</v>
      </c>
      <c r="K647" s="70">
        <v>-9.26</v>
      </c>
      <c r="L647" s="70">
        <v>-1.1299999999999999</v>
      </c>
      <c r="M647" s="68">
        <f t="shared" si="10"/>
        <v>225.18</v>
      </c>
    </row>
    <row r="648" spans="1:13" x14ac:dyDescent="0.25">
      <c r="A648" s="70">
        <v>1796</v>
      </c>
      <c r="B648" s="70" t="s">
        <v>229</v>
      </c>
      <c r="C648" s="70">
        <v>0</v>
      </c>
      <c r="D648" s="70" t="s">
        <v>1205</v>
      </c>
      <c r="E648" s="70">
        <v>4</v>
      </c>
      <c r="F648" s="70"/>
      <c r="G648" s="70">
        <v>136.69999999999999</v>
      </c>
      <c r="H648" s="70">
        <v>4.68</v>
      </c>
      <c r="I648" s="70">
        <v>-8.89</v>
      </c>
      <c r="J648" s="70">
        <v>0.17</v>
      </c>
      <c r="K648" s="70">
        <v>17.850000000000001</v>
      </c>
      <c r="L648" s="70">
        <v>-2.72</v>
      </c>
      <c r="M648" s="68">
        <f t="shared" si="10"/>
        <v>-136.69999999999999</v>
      </c>
    </row>
    <row r="649" spans="1:13" x14ac:dyDescent="0.25">
      <c r="A649" s="70">
        <v>2510</v>
      </c>
      <c r="B649" s="70" t="s">
        <v>229</v>
      </c>
      <c r="C649" s="70">
        <v>0</v>
      </c>
      <c r="D649" s="70" t="s">
        <v>1968</v>
      </c>
      <c r="E649" s="70">
        <v>0</v>
      </c>
      <c r="F649" s="70"/>
      <c r="G649" s="70">
        <v>-224.23</v>
      </c>
      <c r="H649" s="70">
        <v>-2.36</v>
      </c>
      <c r="I649" s="70">
        <v>-8.9</v>
      </c>
      <c r="J649" s="70">
        <v>-0.14000000000000001</v>
      </c>
      <c r="K649" s="70">
        <v>-9.23</v>
      </c>
      <c r="L649" s="70">
        <v>-1.1299999999999999</v>
      </c>
      <c r="M649" s="68">
        <f t="shared" si="10"/>
        <v>224.23</v>
      </c>
    </row>
    <row r="650" spans="1:13" x14ac:dyDescent="0.25">
      <c r="A650" s="70">
        <v>1761</v>
      </c>
      <c r="B650" s="70" t="s">
        <v>229</v>
      </c>
      <c r="C650" s="70">
        <v>0</v>
      </c>
      <c r="D650" s="70" t="s">
        <v>1197</v>
      </c>
      <c r="E650" s="70">
        <v>4</v>
      </c>
      <c r="F650" s="70"/>
      <c r="G650" s="70">
        <v>280.5</v>
      </c>
      <c r="H650" s="70">
        <v>-5.87</v>
      </c>
      <c r="I650" s="70">
        <v>-8.94</v>
      </c>
      <c r="J650" s="70">
        <v>0.19</v>
      </c>
      <c r="K650" s="70">
        <v>18.39</v>
      </c>
      <c r="L650" s="70">
        <v>2.58</v>
      </c>
      <c r="M650" s="68">
        <f t="shared" si="10"/>
        <v>-280.5</v>
      </c>
    </row>
    <row r="651" spans="1:13" x14ac:dyDescent="0.25">
      <c r="A651" s="70">
        <v>2439</v>
      </c>
      <c r="B651" s="70" t="s">
        <v>229</v>
      </c>
      <c r="C651" s="70">
        <v>0</v>
      </c>
      <c r="D651" s="70" t="s">
        <v>1892</v>
      </c>
      <c r="E651" s="70">
        <v>0</v>
      </c>
      <c r="F651" s="70"/>
      <c r="G651" s="70">
        <v>-690.89</v>
      </c>
      <c r="H651" s="70">
        <v>-11.34</v>
      </c>
      <c r="I651" s="70">
        <v>-8.9499999999999993</v>
      </c>
      <c r="J651" s="70">
        <v>0.3</v>
      </c>
      <c r="K651" s="70">
        <v>-11.89</v>
      </c>
      <c r="L651" s="70">
        <v>-5.39</v>
      </c>
      <c r="M651" s="68">
        <f t="shared" si="10"/>
        <v>690.89</v>
      </c>
    </row>
    <row r="652" spans="1:13" x14ac:dyDescent="0.25">
      <c r="A652" s="70">
        <v>2244</v>
      </c>
      <c r="B652" s="70" t="s">
        <v>229</v>
      </c>
      <c r="C652" s="70">
        <v>0</v>
      </c>
      <c r="D652" s="70" t="s">
        <v>1700</v>
      </c>
      <c r="E652" s="70">
        <v>0</v>
      </c>
      <c r="F652" s="70"/>
      <c r="G652" s="70">
        <v>280.67</v>
      </c>
      <c r="H652" s="70">
        <v>-5.85</v>
      </c>
      <c r="I652" s="70">
        <v>-9.06</v>
      </c>
      <c r="J652" s="70">
        <v>0.19</v>
      </c>
      <c r="K652" s="70">
        <v>11.42</v>
      </c>
      <c r="L652" s="70">
        <v>-3.31</v>
      </c>
      <c r="M652" s="68">
        <f t="shared" si="10"/>
        <v>-280.67</v>
      </c>
    </row>
    <row r="653" spans="1:13" x14ac:dyDescent="0.25">
      <c r="A653" s="70">
        <v>7</v>
      </c>
      <c r="B653" s="70" t="s">
        <v>229</v>
      </c>
      <c r="C653" s="70">
        <v>0</v>
      </c>
      <c r="D653" s="70" t="s">
        <v>1107</v>
      </c>
      <c r="E653" s="70">
        <v>4</v>
      </c>
      <c r="F653" s="70"/>
      <c r="G653" s="70">
        <v>-134.38999999999999</v>
      </c>
      <c r="H653" s="70">
        <v>-2.13</v>
      </c>
      <c r="I653" s="70">
        <v>-9.08</v>
      </c>
      <c r="J653" s="70">
        <v>-0.18</v>
      </c>
      <c r="K653" s="70">
        <v>-7.55</v>
      </c>
      <c r="L653" s="70">
        <v>1.0900000000000001</v>
      </c>
      <c r="M653" s="68">
        <f t="shared" si="10"/>
        <v>134.38999999999999</v>
      </c>
    </row>
    <row r="654" spans="1:13" x14ac:dyDescent="0.25">
      <c r="A654" s="70">
        <v>1827</v>
      </c>
      <c r="B654" s="70" t="s">
        <v>229</v>
      </c>
      <c r="C654" s="70">
        <v>0</v>
      </c>
      <c r="D654" s="70" t="s">
        <v>1262</v>
      </c>
      <c r="E654" s="70">
        <v>0</v>
      </c>
      <c r="F654" s="70"/>
      <c r="G654" s="70">
        <v>395.71</v>
      </c>
      <c r="H654" s="70">
        <v>-7.35</v>
      </c>
      <c r="I654" s="70">
        <v>-9.1</v>
      </c>
      <c r="J654" s="70">
        <v>-0.33</v>
      </c>
      <c r="K654" s="70">
        <v>6.57</v>
      </c>
      <c r="L654" s="70">
        <v>-4.07</v>
      </c>
      <c r="M654" s="68">
        <f t="shared" si="10"/>
        <v>-395.71</v>
      </c>
    </row>
    <row r="655" spans="1:13" x14ac:dyDescent="0.25">
      <c r="A655" s="70">
        <v>2348</v>
      </c>
      <c r="B655" s="70" t="s">
        <v>229</v>
      </c>
      <c r="C655" s="70">
        <v>0</v>
      </c>
      <c r="D655" s="70" t="s">
        <v>1780</v>
      </c>
      <c r="E655" s="70">
        <v>0</v>
      </c>
      <c r="F655" s="70"/>
      <c r="G655" s="70">
        <v>126.32</v>
      </c>
      <c r="H655" s="70">
        <v>4.66</v>
      </c>
      <c r="I655" s="70">
        <v>-9.1300000000000008</v>
      </c>
      <c r="J655" s="70">
        <v>0.17</v>
      </c>
      <c r="K655" s="70">
        <v>11.78</v>
      </c>
      <c r="L655" s="70">
        <v>-2.0099999999999998</v>
      </c>
      <c r="M655" s="68">
        <f t="shared" si="10"/>
        <v>-126.32</v>
      </c>
    </row>
    <row r="656" spans="1:13" x14ac:dyDescent="0.25">
      <c r="A656" s="70">
        <v>1961</v>
      </c>
      <c r="B656" s="70" t="s">
        <v>229</v>
      </c>
      <c r="C656" s="70">
        <v>0</v>
      </c>
      <c r="D656" s="70" t="s">
        <v>1399</v>
      </c>
      <c r="E656" s="70">
        <v>4</v>
      </c>
      <c r="F656" s="70"/>
      <c r="G656" s="70">
        <v>168.68</v>
      </c>
      <c r="H656" s="70">
        <v>-7.66</v>
      </c>
      <c r="I656" s="70">
        <v>-9.16</v>
      </c>
      <c r="J656" s="70">
        <v>-0.59</v>
      </c>
      <c r="K656" s="70">
        <v>8.66</v>
      </c>
      <c r="L656" s="70">
        <v>3.82</v>
      </c>
      <c r="M656" s="68">
        <f t="shared" si="10"/>
        <v>-168.68</v>
      </c>
    </row>
    <row r="657" spans="1:13" x14ac:dyDescent="0.25">
      <c r="A657" s="70">
        <v>1945</v>
      </c>
      <c r="B657" s="70" t="s">
        <v>229</v>
      </c>
      <c r="C657" s="70">
        <v>0</v>
      </c>
      <c r="D657" s="70" t="s">
        <v>1370</v>
      </c>
      <c r="E657" s="70">
        <v>0</v>
      </c>
      <c r="F657" s="70"/>
      <c r="G657" s="70">
        <v>-423.92</v>
      </c>
      <c r="H657" s="70">
        <v>-9.85</v>
      </c>
      <c r="I657" s="70">
        <v>-9.17</v>
      </c>
      <c r="J657" s="70">
        <v>-0.41</v>
      </c>
      <c r="K657" s="70">
        <v>-14.23</v>
      </c>
      <c r="L657" s="70">
        <v>-5.22</v>
      </c>
      <c r="M657" s="68">
        <f t="shared" si="10"/>
        <v>423.92</v>
      </c>
    </row>
    <row r="658" spans="1:13" x14ac:dyDescent="0.25">
      <c r="A658" s="70">
        <v>1968</v>
      </c>
      <c r="B658" s="70" t="s">
        <v>229</v>
      </c>
      <c r="C658" s="70">
        <v>0</v>
      </c>
      <c r="D658" s="70" t="s">
        <v>1412</v>
      </c>
      <c r="E658" s="70">
        <v>0</v>
      </c>
      <c r="F658" s="70"/>
      <c r="G658" s="70">
        <v>280.93</v>
      </c>
      <c r="H658" s="70">
        <v>-5.86</v>
      </c>
      <c r="I658" s="70">
        <v>-9.18</v>
      </c>
      <c r="J658" s="70">
        <v>0.19</v>
      </c>
      <c r="K658" s="70">
        <v>11.44</v>
      </c>
      <c r="L658" s="70">
        <v>-3.32</v>
      </c>
      <c r="M658" s="68">
        <f t="shared" si="10"/>
        <v>-280.93</v>
      </c>
    </row>
    <row r="659" spans="1:13" x14ac:dyDescent="0.25">
      <c r="A659" s="70">
        <v>2360</v>
      </c>
      <c r="B659" s="70" t="s">
        <v>229</v>
      </c>
      <c r="C659" s="70">
        <v>0</v>
      </c>
      <c r="D659" s="70" t="s">
        <v>1804</v>
      </c>
      <c r="E659" s="70">
        <v>0</v>
      </c>
      <c r="F659" s="70"/>
      <c r="G659" s="70">
        <v>-562.21</v>
      </c>
      <c r="H659" s="70">
        <v>-10.83</v>
      </c>
      <c r="I659" s="70">
        <v>-9.18</v>
      </c>
      <c r="J659" s="70">
        <v>0.33</v>
      </c>
      <c r="K659" s="70">
        <v>-14.47</v>
      </c>
      <c r="L659" s="70">
        <v>-5.69</v>
      </c>
      <c r="M659" s="68">
        <f t="shared" si="10"/>
        <v>562.21</v>
      </c>
    </row>
    <row r="660" spans="1:13" x14ac:dyDescent="0.25">
      <c r="A660" s="70">
        <v>1934</v>
      </c>
      <c r="B660" s="70" t="s">
        <v>229</v>
      </c>
      <c r="C660" s="70">
        <v>0</v>
      </c>
      <c r="D660" s="70" t="s">
        <v>1348</v>
      </c>
      <c r="E660" s="70">
        <v>0</v>
      </c>
      <c r="F660" s="70"/>
      <c r="G660" s="70">
        <v>125.96</v>
      </c>
      <c r="H660" s="70">
        <v>4.68</v>
      </c>
      <c r="I660" s="70">
        <v>-9.2200000000000006</v>
      </c>
      <c r="J660" s="70">
        <v>0.17</v>
      </c>
      <c r="K660" s="70">
        <v>11.8</v>
      </c>
      <c r="L660" s="70">
        <v>2</v>
      </c>
      <c r="M660" s="68">
        <f t="shared" si="10"/>
        <v>-125.96</v>
      </c>
    </row>
    <row r="661" spans="1:13" x14ac:dyDescent="0.25">
      <c r="A661" s="70">
        <v>2511</v>
      </c>
      <c r="B661" s="70" t="s">
        <v>229</v>
      </c>
      <c r="C661" s="70">
        <v>0</v>
      </c>
      <c r="D661" s="70" t="s">
        <v>1971</v>
      </c>
      <c r="E661" s="70">
        <v>4</v>
      </c>
      <c r="F661" s="70"/>
      <c r="G661" s="70">
        <v>-133.59</v>
      </c>
      <c r="H661" s="70">
        <v>-2.14</v>
      </c>
      <c r="I661" s="70">
        <v>-9.2200000000000006</v>
      </c>
      <c r="J661" s="70">
        <v>-0.18</v>
      </c>
      <c r="K661" s="70">
        <v>-7.45</v>
      </c>
      <c r="L661" s="70">
        <v>1.1000000000000001</v>
      </c>
      <c r="M661" s="68">
        <f t="shared" si="10"/>
        <v>133.59</v>
      </c>
    </row>
    <row r="662" spans="1:13" x14ac:dyDescent="0.25">
      <c r="A662" s="70">
        <v>2359</v>
      </c>
      <c r="B662" s="70" t="s">
        <v>229</v>
      </c>
      <c r="C662" s="70">
        <v>0</v>
      </c>
      <c r="D662" s="70" t="s">
        <v>1802</v>
      </c>
      <c r="E662" s="70">
        <v>0</v>
      </c>
      <c r="F662" s="70"/>
      <c r="G662" s="70">
        <v>-425.69</v>
      </c>
      <c r="H662" s="70">
        <v>-9.81</v>
      </c>
      <c r="I662" s="70">
        <v>-9.23</v>
      </c>
      <c r="J662" s="70">
        <v>-0.4</v>
      </c>
      <c r="K662" s="70">
        <v>-14.14</v>
      </c>
      <c r="L662" s="70">
        <v>-5.19</v>
      </c>
      <c r="M662" s="68">
        <f t="shared" si="10"/>
        <v>425.69</v>
      </c>
    </row>
    <row r="663" spans="1:13" x14ac:dyDescent="0.25">
      <c r="A663" s="70">
        <v>11</v>
      </c>
      <c r="B663" s="70" t="s">
        <v>229</v>
      </c>
      <c r="C663" s="70">
        <v>0</v>
      </c>
      <c r="D663" s="70" t="s">
        <v>1114</v>
      </c>
      <c r="E663" s="70">
        <v>0</v>
      </c>
      <c r="F663" s="70"/>
      <c r="G663" s="70">
        <v>202.53</v>
      </c>
      <c r="H663" s="70">
        <v>-1.77</v>
      </c>
      <c r="I663" s="70">
        <v>-9.24</v>
      </c>
      <c r="J663" s="70">
        <v>-0.17</v>
      </c>
      <c r="K663" s="70">
        <v>7.67</v>
      </c>
      <c r="L663" s="70">
        <v>-0.91</v>
      </c>
      <c r="M663" s="68">
        <f t="shared" si="10"/>
        <v>-202.53</v>
      </c>
    </row>
    <row r="664" spans="1:13" x14ac:dyDescent="0.25">
      <c r="A664" s="70">
        <v>2007</v>
      </c>
      <c r="B664" s="70" t="s">
        <v>229</v>
      </c>
      <c r="C664" s="70">
        <v>0</v>
      </c>
      <c r="D664" s="70" t="s">
        <v>1428</v>
      </c>
      <c r="E664" s="70">
        <v>0</v>
      </c>
      <c r="F664" s="70"/>
      <c r="G664" s="70">
        <v>387.93</v>
      </c>
      <c r="H664" s="70">
        <v>-7.3</v>
      </c>
      <c r="I664" s="70">
        <v>-9.24</v>
      </c>
      <c r="J664" s="70">
        <v>-0.33</v>
      </c>
      <c r="K664" s="70">
        <v>3</v>
      </c>
      <c r="L664" s="70">
        <v>-3.2</v>
      </c>
      <c r="M664" s="68">
        <f t="shared" si="10"/>
        <v>-387.93</v>
      </c>
    </row>
    <row r="665" spans="1:13" x14ac:dyDescent="0.25">
      <c r="A665" s="70">
        <v>1749</v>
      </c>
      <c r="B665" s="70" t="s">
        <v>229</v>
      </c>
      <c r="C665" s="70">
        <v>0</v>
      </c>
      <c r="D665" s="70" t="s">
        <v>1172</v>
      </c>
      <c r="E665" s="70">
        <v>0</v>
      </c>
      <c r="F665" s="70"/>
      <c r="G665" s="70">
        <v>-691.6</v>
      </c>
      <c r="H665" s="70">
        <v>11.3</v>
      </c>
      <c r="I665" s="70">
        <v>-9.26</v>
      </c>
      <c r="J665" s="70">
        <v>0.31</v>
      </c>
      <c r="K665" s="70">
        <v>-12.04</v>
      </c>
      <c r="L665" s="70">
        <v>5.39</v>
      </c>
      <c r="M665" s="68">
        <f t="shared" si="10"/>
        <v>691.6</v>
      </c>
    </row>
    <row r="666" spans="1:13" x14ac:dyDescent="0.25">
      <c r="A666" s="70">
        <v>2379</v>
      </c>
      <c r="B666" s="70" t="s">
        <v>229</v>
      </c>
      <c r="C666" s="70">
        <v>0</v>
      </c>
      <c r="D666" s="70" t="s">
        <v>1838</v>
      </c>
      <c r="E666" s="70">
        <v>0</v>
      </c>
      <c r="F666" s="70"/>
      <c r="G666" s="70">
        <v>395.15</v>
      </c>
      <c r="H666" s="70">
        <v>-7.3</v>
      </c>
      <c r="I666" s="70">
        <v>-9.26</v>
      </c>
      <c r="J666" s="70">
        <v>-0.33</v>
      </c>
      <c r="K666" s="70">
        <v>6.49</v>
      </c>
      <c r="L666" s="70">
        <v>4.05</v>
      </c>
      <c r="M666" s="68">
        <f t="shared" si="10"/>
        <v>-395.15</v>
      </c>
    </row>
    <row r="667" spans="1:13" x14ac:dyDescent="0.25">
      <c r="A667" s="70">
        <v>1946</v>
      </c>
      <c r="B667" s="70" t="s">
        <v>229</v>
      </c>
      <c r="C667" s="70">
        <v>0</v>
      </c>
      <c r="D667" s="70" t="s">
        <v>1372</v>
      </c>
      <c r="E667" s="70">
        <v>0</v>
      </c>
      <c r="F667" s="70"/>
      <c r="G667" s="70">
        <v>-560.88</v>
      </c>
      <c r="H667" s="70">
        <v>-10.87</v>
      </c>
      <c r="I667" s="70">
        <v>-9.27</v>
      </c>
      <c r="J667" s="70">
        <v>0.33</v>
      </c>
      <c r="K667" s="70">
        <v>-14.52</v>
      </c>
      <c r="L667" s="70">
        <v>-5.71</v>
      </c>
      <c r="M667" s="68">
        <f t="shared" si="10"/>
        <v>560.88</v>
      </c>
    </row>
    <row r="668" spans="1:13" x14ac:dyDescent="0.25">
      <c r="A668" s="70">
        <v>2086</v>
      </c>
      <c r="B668" s="70" t="s">
        <v>229</v>
      </c>
      <c r="C668" s="70">
        <v>0</v>
      </c>
      <c r="D668" s="70" t="s">
        <v>1520</v>
      </c>
      <c r="E668" s="70">
        <v>0</v>
      </c>
      <c r="F668" s="70"/>
      <c r="G668" s="70">
        <v>-739.93</v>
      </c>
      <c r="H668" s="70">
        <v>-10.6</v>
      </c>
      <c r="I668" s="70">
        <v>-9.3000000000000007</v>
      </c>
      <c r="J668" s="70">
        <v>0.3</v>
      </c>
      <c r="K668" s="70">
        <v>-8.74</v>
      </c>
      <c r="L668" s="70">
        <v>-5.36</v>
      </c>
      <c r="M668" s="68">
        <f t="shared" si="10"/>
        <v>739.93</v>
      </c>
    </row>
    <row r="669" spans="1:13" x14ac:dyDescent="0.25">
      <c r="A669" s="70">
        <v>2283</v>
      </c>
      <c r="B669" s="70" t="s">
        <v>229</v>
      </c>
      <c r="C669" s="70">
        <v>0</v>
      </c>
      <c r="D669" s="70" t="s">
        <v>1716</v>
      </c>
      <c r="E669" s="70">
        <v>0</v>
      </c>
      <c r="F669" s="70"/>
      <c r="G669" s="70">
        <v>388.4</v>
      </c>
      <c r="H669" s="70">
        <v>-7.33</v>
      </c>
      <c r="I669" s="70">
        <v>-9.3000000000000007</v>
      </c>
      <c r="J669" s="70">
        <v>-0.34</v>
      </c>
      <c r="K669" s="70">
        <v>2.96</v>
      </c>
      <c r="L669" s="70">
        <v>-3.22</v>
      </c>
      <c r="M669" s="68">
        <f t="shared" si="10"/>
        <v>-388.4</v>
      </c>
    </row>
    <row r="670" spans="1:13" x14ac:dyDescent="0.25">
      <c r="A670" s="70">
        <v>2077</v>
      </c>
      <c r="B670" s="70" t="s">
        <v>229</v>
      </c>
      <c r="C670" s="70">
        <v>0</v>
      </c>
      <c r="D670" s="70" t="s">
        <v>1502</v>
      </c>
      <c r="E670" s="70">
        <v>0</v>
      </c>
      <c r="F670" s="70"/>
      <c r="G670" s="70">
        <v>414.67</v>
      </c>
      <c r="H670" s="70">
        <v>-7.35</v>
      </c>
      <c r="I670" s="70">
        <v>-9.34</v>
      </c>
      <c r="J670" s="70">
        <v>-0.42</v>
      </c>
      <c r="K670" s="70">
        <v>4.59</v>
      </c>
      <c r="L670" s="70">
        <v>-3.3</v>
      </c>
      <c r="M670" s="68">
        <f t="shared" si="10"/>
        <v>-414.67</v>
      </c>
    </row>
    <row r="671" spans="1:13" x14ac:dyDescent="0.25">
      <c r="A671" s="70">
        <v>2237</v>
      </c>
      <c r="B671" s="70" t="s">
        <v>229</v>
      </c>
      <c r="C671" s="70">
        <v>0</v>
      </c>
      <c r="D671" s="70" t="s">
        <v>1687</v>
      </c>
      <c r="E671" s="70">
        <v>4</v>
      </c>
      <c r="F671" s="70"/>
      <c r="G671" s="70">
        <v>168.2</v>
      </c>
      <c r="H671" s="70">
        <v>-7.67</v>
      </c>
      <c r="I671" s="70">
        <v>-9.34</v>
      </c>
      <c r="J671" s="70">
        <v>-0.59</v>
      </c>
      <c r="K671" s="70">
        <v>8.7100000000000009</v>
      </c>
      <c r="L671" s="70">
        <v>3.83</v>
      </c>
      <c r="M671" s="68">
        <f t="shared" si="10"/>
        <v>-168.2</v>
      </c>
    </row>
    <row r="672" spans="1:13" x14ac:dyDescent="0.25">
      <c r="A672" s="70">
        <v>1960</v>
      </c>
      <c r="B672" s="70" t="s">
        <v>229</v>
      </c>
      <c r="C672" s="70">
        <v>0</v>
      </c>
      <c r="D672" s="70" t="s">
        <v>1397</v>
      </c>
      <c r="E672" s="70">
        <v>4</v>
      </c>
      <c r="F672" s="70"/>
      <c r="G672" s="70">
        <v>-55.55</v>
      </c>
      <c r="H672" s="70">
        <v>-8.23</v>
      </c>
      <c r="I672" s="70">
        <v>-9.3699999999999992</v>
      </c>
      <c r="J672" s="70">
        <v>-0.56999999999999995</v>
      </c>
      <c r="K672" s="70">
        <v>-4.84</v>
      </c>
      <c r="L672" s="70">
        <v>4.2300000000000004</v>
      </c>
      <c r="M672" s="68">
        <f t="shared" si="10"/>
        <v>55.55</v>
      </c>
    </row>
    <row r="673" spans="1:13" x14ac:dyDescent="0.25">
      <c r="A673" s="70">
        <v>2489</v>
      </c>
      <c r="B673" s="70" t="s">
        <v>229</v>
      </c>
      <c r="C673" s="70">
        <v>0</v>
      </c>
      <c r="D673" s="70" t="s">
        <v>1930</v>
      </c>
      <c r="E673" s="70">
        <v>0</v>
      </c>
      <c r="F673" s="70"/>
      <c r="G673" s="70">
        <v>356.6</v>
      </c>
      <c r="H673" s="70">
        <v>-7.16</v>
      </c>
      <c r="I673" s="70">
        <v>-9.3699999999999992</v>
      </c>
      <c r="J673" s="70">
        <v>-0.27</v>
      </c>
      <c r="K673" s="70">
        <v>6.5</v>
      </c>
      <c r="L673" s="70">
        <v>-3.14</v>
      </c>
      <c r="M673" s="68">
        <f t="shared" si="10"/>
        <v>-356.6</v>
      </c>
    </row>
    <row r="674" spans="1:13" x14ac:dyDescent="0.25">
      <c r="A674" s="70">
        <v>2215</v>
      </c>
      <c r="B674" s="70" t="s">
        <v>229</v>
      </c>
      <c r="C674" s="70">
        <v>0</v>
      </c>
      <c r="D674" s="70" t="s">
        <v>1646</v>
      </c>
      <c r="E674" s="70">
        <v>0</v>
      </c>
      <c r="F674" s="70"/>
      <c r="G674" s="70">
        <v>415.17</v>
      </c>
      <c r="H674" s="70">
        <v>-7.36</v>
      </c>
      <c r="I674" s="70">
        <v>-9.3800000000000008</v>
      </c>
      <c r="J674" s="70">
        <v>-0.42</v>
      </c>
      <c r="K674" s="70">
        <v>4.57</v>
      </c>
      <c r="L674" s="70">
        <v>-3.31</v>
      </c>
      <c r="M674" s="68">
        <f t="shared" si="10"/>
        <v>-415.17</v>
      </c>
    </row>
    <row r="675" spans="1:13" x14ac:dyDescent="0.25">
      <c r="A675" s="70">
        <v>1799</v>
      </c>
      <c r="B675" s="70" t="s">
        <v>229</v>
      </c>
      <c r="C675" s="70">
        <v>0</v>
      </c>
      <c r="D675" s="70" t="s">
        <v>1210</v>
      </c>
      <c r="E675" s="70">
        <v>0</v>
      </c>
      <c r="F675" s="70"/>
      <c r="G675" s="70">
        <v>356.18</v>
      </c>
      <c r="H675" s="70">
        <v>7.19</v>
      </c>
      <c r="I675" s="70">
        <v>-9.39</v>
      </c>
      <c r="J675" s="70">
        <v>0.27</v>
      </c>
      <c r="K675" s="70">
        <v>6.49</v>
      </c>
      <c r="L675" s="70">
        <v>3.14</v>
      </c>
      <c r="M675" s="68">
        <f t="shared" si="10"/>
        <v>-356.18</v>
      </c>
    </row>
    <row r="676" spans="1:13" x14ac:dyDescent="0.25">
      <c r="A676" s="70">
        <v>2515</v>
      </c>
      <c r="B676" s="70" t="s">
        <v>229</v>
      </c>
      <c r="C676" s="70">
        <v>0</v>
      </c>
      <c r="D676" s="70" t="s">
        <v>1978</v>
      </c>
      <c r="E676" s="70">
        <v>0</v>
      </c>
      <c r="F676" s="70"/>
      <c r="G676" s="70">
        <v>201.95</v>
      </c>
      <c r="H676" s="70">
        <v>-1.76</v>
      </c>
      <c r="I676" s="70">
        <v>-9.4499999999999993</v>
      </c>
      <c r="J676" s="70">
        <v>-0.17</v>
      </c>
      <c r="K676" s="70">
        <v>7.59</v>
      </c>
      <c r="L676" s="70">
        <v>-0.91</v>
      </c>
      <c r="M676" s="68">
        <f t="shared" si="10"/>
        <v>-201.95</v>
      </c>
    </row>
    <row r="677" spans="1:13" x14ac:dyDescent="0.25">
      <c r="A677" s="70">
        <v>2361</v>
      </c>
      <c r="B677" s="70" t="s">
        <v>229</v>
      </c>
      <c r="C677" s="70">
        <v>0</v>
      </c>
      <c r="D677" s="70" t="s">
        <v>1806</v>
      </c>
      <c r="E677" s="70">
        <v>0</v>
      </c>
      <c r="F677" s="70"/>
      <c r="G677" s="70">
        <v>-669.32</v>
      </c>
      <c r="H677" s="70">
        <v>-11.33</v>
      </c>
      <c r="I677" s="70">
        <v>-9.4600000000000009</v>
      </c>
      <c r="J677" s="70">
        <v>0.31</v>
      </c>
      <c r="K677" s="70">
        <v>-12.62</v>
      </c>
      <c r="L677" s="70">
        <v>-5.88</v>
      </c>
      <c r="M677" s="68">
        <f t="shared" si="10"/>
        <v>669.32</v>
      </c>
    </row>
    <row r="678" spans="1:13" x14ac:dyDescent="0.25">
      <c r="A678" s="70">
        <v>2224</v>
      </c>
      <c r="B678" s="70" t="s">
        <v>229</v>
      </c>
      <c r="C678" s="70">
        <v>0</v>
      </c>
      <c r="D678" s="70" t="s">
        <v>1664</v>
      </c>
      <c r="E678" s="70">
        <v>0</v>
      </c>
      <c r="F678" s="70"/>
      <c r="G678" s="70">
        <v>-740.61</v>
      </c>
      <c r="H678" s="70">
        <v>10.59</v>
      </c>
      <c r="I678" s="70">
        <v>-9.48</v>
      </c>
      <c r="J678" s="70">
        <v>0.3</v>
      </c>
      <c r="K678" s="70">
        <v>-8.7200000000000006</v>
      </c>
      <c r="L678" s="70">
        <v>-5.35</v>
      </c>
      <c r="M678" s="68">
        <f t="shared" si="10"/>
        <v>740.61</v>
      </c>
    </row>
    <row r="679" spans="1:13" x14ac:dyDescent="0.25">
      <c r="A679" s="70">
        <v>2010</v>
      </c>
      <c r="B679" s="70" t="s">
        <v>229</v>
      </c>
      <c r="C679" s="70">
        <v>0</v>
      </c>
      <c r="D679" s="70" t="s">
        <v>1434</v>
      </c>
      <c r="E679" s="70">
        <v>0</v>
      </c>
      <c r="F679" s="70"/>
      <c r="G679" s="70">
        <v>327.62</v>
      </c>
      <c r="H679" s="70">
        <v>-7.37</v>
      </c>
      <c r="I679" s="70">
        <v>-9.49</v>
      </c>
      <c r="J679" s="70">
        <v>-0.56000000000000005</v>
      </c>
      <c r="K679" s="70">
        <v>9.75</v>
      </c>
      <c r="L679" s="70">
        <v>-3.55</v>
      </c>
      <c r="M679" s="68">
        <f t="shared" si="10"/>
        <v>-327.62</v>
      </c>
    </row>
    <row r="680" spans="1:13" x14ac:dyDescent="0.25">
      <c r="A680" s="70">
        <v>2311</v>
      </c>
      <c r="B680" s="70" t="s">
        <v>229</v>
      </c>
      <c r="C680" s="70">
        <v>0</v>
      </c>
      <c r="D680" s="70" t="s">
        <v>1768</v>
      </c>
      <c r="E680" s="70">
        <v>0</v>
      </c>
      <c r="F680" s="70"/>
      <c r="G680" s="70">
        <v>360.36</v>
      </c>
      <c r="H680" s="70">
        <v>7.21</v>
      </c>
      <c r="I680" s="70">
        <v>-9.51</v>
      </c>
      <c r="J680" s="70">
        <v>0.27</v>
      </c>
      <c r="K680" s="70">
        <v>3.69</v>
      </c>
      <c r="L680" s="70">
        <v>4.05</v>
      </c>
      <c r="M680" s="68">
        <f t="shared" si="10"/>
        <v>-360.36</v>
      </c>
    </row>
    <row r="681" spans="1:13" x14ac:dyDescent="0.25">
      <c r="A681" s="70">
        <v>2031</v>
      </c>
      <c r="B681" s="70" t="s">
        <v>229</v>
      </c>
      <c r="C681" s="70">
        <v>0</v>
      </c>
      <c r="D681" s="70" t="s">
        <v>1472</v>
      </c>
      <c r="E681" s="70">
        <v>0</v>
      </c>
      <c r="F681" s="70"/>
      <c r="G681" s="70">
        <v>322.19</v>
      </c>
      <c r="H681" s="70">
        <v>-7.38</v>
      </c>
      <c r="I681" s="70">
        <v>-9.52</v>
      </c>
      <c r="J681" s="70">
        <v>-0.55000000000000004</v>
      </c>
      <c r="K681" s="70">
        <v>7.23</v>
      </c>
      <c r="L681" s="70">
        <v>-3.81</v>
      </c>
      <c r="M681" s="68">
        <f t="shared" si="10"/>
        <v>-322.19</v>
      </c>
    </row>
    <row r="682" spans="1:13" x14ac:dyDescent="0.25">
      <c r="A682" s="70">
        <v>2236</v>
      </c>
      <c r="B682" s="70" t="s">
        <v>229</v>
      </c>
      <c r="C682" s="70">
        <v>0</v>
      </c>
      <c r="D682" s="70" t="s">
        <v>1685</v>
      </c>
      <c r="E682" s="70">
        <v>4</v>
      </c>
      <c r="F682" s="70"/>
      <c r="G682" s="70">
        <v>-54.86</v>
      </c>
      <c r="H682" s="70">
        <v>-8.25</v>
      </c>
      <c r="I682" s="70">
        <v>-9.52</v>
      </c>
      <c r="J682" s="70">
        <v>-0.56999999999999995</v>
      </c>
      <c r="K682" s="70">
        <v>-4.74</v>
      </c>
      <c r="L682" s="70">
        <v>4.24</v>
      </c>
      <c r="M682" s="68">
        <f t="shared" si="10"/>
        <v>54.86</v>
      </c>
    </row>
    <row r="683" spans="1:13" x14ac:dyDescent="0.25">
      <c r="A683" s="70">
        <v>1897</v>
      </c>
      <c r="B683" s="70" t="s">
        <v>229</v>
      </c>
      <c r="C683" s="70">
        <v>0</v>
      </c>
      <c r="D683" s="70" t="s">
        <v>1336</v>
      </c>
      <c r="E683" s="70">
        <v>0</v>
      </c>
      <c r="F683" s="70"/>
      <c r="G683" s="70">
        <v>360.76</v>
      </c>
      <c r="H683" s="70">
        <v>-7.19</v>
      </c>
      <c r="I683" s="70">
        <v>-9.5299999999999994</v>
      </c>
      <c r="J683" s="70">
        <v>-0.27</v>
      </c>
      <c r="K683" s="70">
        <v>3.71</v>
      </c>
      <c r="L683" s="70">
        <v>-4.04</v>
      </c>
      <c r="M683" s="68">
        <f t="shared" si="10"/>
        <v>-360.76</v>
      </c>
    </row>
    <row r="684" spans="1:13" x14ac:dyDescent="0.25">
      <c r="A684" s="70">
        <v>2169</v>
      </c>
      <c r="B684" s="70" t="s">
        <v>229</v>
      </c>
      <c r="C684" s="70">
        <v>0</v>
      </c>
      <c r="D684" s="70" t="s">
        <v>1616</v>
      </c>
      <c r="E684" s="70">
        <v>0</v>
      </c>
      <c r="F684" s="70"/>
      <c r="G684" s="70">
        <v>321.63</v>
      </c>
      <c r="H684" s="70">
        <v>-7.38</v>
      </c>
      <c r="I684" s="70">
        <v>-9.6</v>
      </c>
      <c r="J684" s="70">
        <v>-0.55000000000000004</v>
      </c>
      <c r="K684" s="70">
        <v>7.21</v>
      </c>
      <c r="L684" s="70">
        <v>-3.8</v>
      </c>
      <c r="M684" s="68">
        <f t="shared" si="10"/>
        <v>-321.63</v>
      </c>
    </row>
    <row r="685" spans="1:13" x14ac:dyDescent="0.25">
      <c r="A685" s="70">
        <v>1947</v>
      </c>
      <c r="B685" s="70" t="s">
        <v>229</v>
      </c>
      <c r="C685" s="70">
        <v>0</v>
      </c>
      <c r="D685" s="70" t="s">
        <v>1374</v>
      </c>
      <c r="E685" s="70">
        <v>0</v>
      </c>
      <c r="F685" s="70"/>
      <c r="G685" s="70">
        <v>-668.97</v>
      </c>
      <c r="H685" s="70">
        <v>-11.36</v>
      </c>
      <c r="I685" s="70">
        <v>-9.65</v>
      </c>
      <c r="J685" s="70">
        <v>0.3</v>
      </c>
      <c r="K685" s="70">
        <v>-12.71</v>
      </c>
      <c r="L685" s="70">
        <v>-5.9</v>
      </c>
      <c r="M685" s="68">
        <f t="shared" si="10"/>
        <v>668.97</v>
      </c>
    </row>
    <row r="686" spans="1:13" x14ac:dyDescent="0.25">
      <c r="A686" s="70">
        <v>2286</v>
      </c>
      <c r="B686" s="70" t="s">
        <v>229</v>
      </c>
      <c r="C686" s="70">
        <v>0</v>
      </c>
      <c r="D686" s="70" t="s">
        <v>1722</v>
      </c>
      <c r="E686" s="70">
        <v>0</v>
      </c>
      <c r="F686" s="70"/>
      <c r="G686" s="70">
        <v>328.49</v>
      </c>
      <c r="H686" s="70">
        <v>-7.37</v>
      </c>
      <c r="I686" s="70">
        <v>-9.66</v>
      </c>
      <c r="J686" s="70">
        <v>-0.56000000000000005</v>
      </c>
      <c r="K686" s="70">
        <v>9.6999999999999993</v>
      </c>
      <c r="L686" s="70">
        <v>-3.55</v>
      </c>
      <c r="M686" s="68">
        <f t="shared" si="10"/>
        <v>-328.49</v>
      </c>
    </row>
    <row r="687" spans="1:13" x14ac:dyDescent="0.25">
      <c r="A687" s="70">
        <v>2450</v>
      </c>
      <c r="B687" s="70" t="s">
        <v>229</v>
      </c>
      <c r="C687" s="70">
        <v>0</v>
      </c>
      <c r="D687" s="70" t="s">
        <v>1915</v>
      </c>
      <c r="E687" s="70">
        <v>4</v>
      </c>
      <c r="F687" s="70"/>
      <c r="G687" s="70">
        <v>330.39</v>
      </c>
      <c r="H687" s="70">
        <v>-6.73</v>
      </c>
      <c r="I687" s="70">
        <v>-9.7799999999999994</v>
      </c>
      <c r="J687" s="70">
        <v>0.23</v>
      </c>
      <c r="K687" s="70">
        <v>12.03</v>
      </c>
      <c r="L687" s="70">
        <v>2.98</v>
      </c>
      <c r="M687" s="68">
        <f t="shared" si="10"/>
        <v>-330.39</v>
      </c>
    </row>
    <row r="688" spans="1:13" x14ac:dyDescent="0.25">
      <c r="A688" s="70">
        <v>1890</v>
      </c>
      <c r="B688" s="70" t="s">
        <v>229</v>
      </c>
      <c r="C688" s="70">
        <v>0</v>
      </c>
      <c r="D688" s="70" t="s">
        <v>1323</v>
      </c>
      <c r="E688" s="70">
        <v>4</v>
      </c>
      <c r="F688" s="70"/>
      <c r="G688" s="70">
        <v>-254.24</v>
      </c>
      <c r="H688" s="70">
        <v>-8.9</v>
      </c>
      <c r="I688" s="70">
        <v>-9.83</v>
      </c>
      <c r="J688" s="70">
        <v>-0.52</v>
      </c>
      <c r="K688" s="70">
        <v>-11.39</v>
      </c>
      <c r="L688" s="70">
        <v>4.6900000000000004</v>
      </c>
      <c r="M688" s="68">
        <f t="shared" si="10"/>
        <v>254.24</v>
      </c>
    </row>
    <row r="689" spans="1:13" x14ac:dyDescent="0.25">
      <c r="A689" s="70">
        <v>2500</v>
      </c>
      <c r="B689" s="70" t="s">
        <v>229</v>
      </c>
      <c r="C689" s="70">
        <v>0</v>
      </c>
      <c r="D689" s="70" t="s">
        <v>1953</v>
      </c>
      <c r="E689" s="70">
        <v>4</v>
      </c>
      <c r="F689" s="70"/>
      <c r="G689" s="70">
        <v>-778.72</v>
      </c>
      <c r="H689" s="70">
        <v>10.6</v>
      </c>
      <c r="I689" s="70">
        <v>-9.8699999999999992</v>
      </c>
      <c r="J689" s="70">
        <v>0.3</v>
      </c>
      <c r="K689" s="70">
        <v>-8.8000000000000007</v>
      </c>
      <c r="L689" s="70">
        <v>-5.18</v>
      </c>
      <c r="M689" s="68">
        <f t="shared" si="10"/>
        <v>778.72</v>
      </c>
    </row>
    <row r="690" spans="1:13" x14ac:dyDescent="0.25">
      <c r="A690" s="70">
        <v>2105</v>
      </c>
      <c r="B690" s="70" t="s">
        <v>229</v>
      </c>
      <c r="C690" s="70">
        <v>0</v>
      </c>
      <c r="D690" s="70" t="s">
        <v>1554</v>
      </c>
      <c r="E690" s="70">
        <v>0</v>
      </c>
      <c r="F690" s="70"/>
      <c r="G690" s="70">
        <v>326.98</v>
      </c>
      <c r="H690" s="70">
        <v>-6.75</v>
      </c>
      <c r="I690" s="70">
        <v>-9.9</v>
      </c>
      <c r="J690" s="70">
        <v>0.23</v>
      </c>
      <c r="K690" s="70">
        <v>3.78</v>
      </c>
      <c r="L690" s="70">
        <v>-3.81</v>
      </c>
      <c r="M690" s="68">
        <f t="shared" si="10"/>
        <v>-326.98</v>
      </c>
    </row>
    <row r="691" spans="1:13" x14ac:dyDescent="0.25">
      <c r="A691" s="70">
        <v>1760</v>
      </c>
      <c r="B691" s="70" t="s">
        <v>229</v>
      </c>
      <c r="C691" s="70">
        <v>0</v>
      </c>
      <c r="D691" s="70" t="s">
        <v>1195</v>
      </c>
      <c r="E691" s="70">
        <v>4</v>
      </c>
      <c r="F691" s="70"/>
      <c r="G691" s="70">
        <v>330.75</v>
      </c>
      <c r="H691" s="70">
        <v>-6.77</v>
      </c>
      <c r="I691" s="70">
        <v>-9.93</v>
      </c>
      <c r="J691" s="70">
        <v>0.23</v>
      </c>
      <c r="K691" s="70">
        <v>12.18</v>
      </c>
      <c r="L691" s="70">
        <v>2.99</v>
      </c>
      <c r="M691" s="68">
        <f t="shared" si="10"/>
        <v>-330.75</v>
      </c>
    </row>
    <row r="692" spans="1:13" x14ac:dyDescent="0.25">
      <c r="A692" s="70">
        <v>2304</v>
      </c>
      <c r="B692" s="70" t="s">
        <v>229</v>
      </c>
      <c r="C692" s="70">
        <v>0</v>
      </c>
      <c r="D692" s="70" t="s">
        <v>1755</v>
      </c>
      <c r="E692" s="70">
        <v>4</v>
      </c>
      <c r="F692" s="70"/>
      <c r="G692" s="70">
        <v>-252.68</v>
      </c>
      <c r="H692" s="70">
        <v>-8.94</v>
      </c>
      <c r="I692" s="70">
        <v>-9.98</v>
      </c>
      <c r="J692" s="70">
        <v>-0.52</v>
      </c>
      <c r="K692" s="70">
        <v>-11.43</v>
      </c>
      <c r="L692" s="70">
        <v>4.71</v>
      </c>
      <c r="M692" s="68">
        <f t="shared" si="10"/>
        <v>252.68</v>
      </c>
    </row>
    <row r="693" spans="1:13" x14ac:dyDescent="0.25">
      <c r="A693" s="70">
        <v>2313</v>
      </c>
      <c r="B693" s="70" t="s">
        <v>229</v>
      </c>
      <c r="C693" s="70">
        <v>0</v>
      </c>
      <c r="D693" s="70" t="s">
        <v>1772</v>
      </c>
      <c r="E693" s="70">
        <v>0</v>
      </c>
      <c r="F693" s="70"/>
      <c r="G693" s="70">
        <v>282.63</v>
      </c>
      <c r="H693" s="70">
        <v>-5.85</v>
      </c>
      <c r="I693" s="70">
        <v>-9.99</v>
      </c>
      <c r="J693" s="70">
        <v>0.19</v>
      </c>
      <c r="K693" s="70">
        <v>11.52</v>
      </c>
      <c r="L693" s="70">
        <v>-3.31</v>
      </c>
      <c r="M693" s="68">
        <f t="shared" si="10"/>
        <v>-282.63</v>
      </c>
    </row>
    <row r="694" spans="1:13" x14ac:dyDescent="0.25">
      <c r="A694" s="70">
        <v>2378</v>
      </c>
      <c r="B694" s="70" t="s">
        <v>229</v>
      </c>
      <c r="C694" s="70">
        <v>0</v>
      </c>
      <c r="D694" s="70" t="s">
        <v>1836</v>
      </c>
      <c r="E694" s="70">
        <v>0</v>
      </c>
      <c r="F694" s="70"/>
      <c r="G694" s="70">
        <v>418.64</v>
      </c>
      <c r="H694" s="70">
        <v>-7.35</v>
      </c>
      <c r="I694" s="70">
        <v>-9.99</v>
      </c>
      <c r="J694" s="70">
        <v>-0.41</v>
      </c>
      <c r="K694" s="70">
        <v>10.43</v>
      </c>
      <c r="L694" s="70">
        <v>-4</v>
      </c>
      <c r="M694" s="68">
        <f t="shared" si="10"/>
        <v>-418.64</v>
      </c>
    </row>
    <row r="695" spans="1:13" x14ac:dyDescent="0.25">
      <c r="A695" s="70">
        <v>2417</v>
      </c>
      <c r="B695" s="70" t="s">
        <v>229</v>
      </c>
      <c r="C695" s="70">
        <v>0</v>
      </c>
      <c r="D695" s="70" t="s">
        <v>1852</v>
      </c>
      <c r="E695" s="70">
        <v>0</v>
      </c>
      <c r="F695" s="70"/>
      <c r="G695" s="70">
        <v>128.41999999999999</v>
      </c>
      <c r="H695" s="70">
        <v>4.66</v>
      </c>
      <c r="I695" s="70">
        <v>-10</v>
      </c>
      <c r="J695" s="70">
        <v>0.17</v>
      </c>
      <c r="K695" s="70">
        <v>11.93</v>
      </c>
      <c r="L695" s="70">
        <v>-2.0099999999999998</v>
      </c>
      <c r="M695" s="68">
        <f t="shared" si="10"/>
        <v>-128.41999999999999</v>
      </c>
    </row>
    <row r="696" spans="1:13" x14ac:dyDescent="0.25">
      <c r="A696" s="70">
        <v>2017</v>
      </c>
      <c r="B696" s="70" t="s">
        <v>229</v>
      </c>
      <c r="C696" s="70">
        <v>0</v>
      </c>
      <c r="D696" s="70" t="s">
        <v>1448</v>
      </c>
      <c r="E696" s="70">
        <v>0</v>
      </c>
      <c r="F696" s="70"/>
      <c r="G696" s="70">
        <v>-747.45</v>
      </c>
      <c r="H696" s="70">
        <v>-10.6</v>
      </c>
      <c r="I696" s="70">
        <v>-10.02</v>
      </c>
      <c r="J696" s="70">
        <v>0.3</v>
      </c>
      <c r="K696" s="70">
        <v>-9.2799999999999994</v>
      </c>
      <c r="L696" s="70">
        <v>-5.36</v>
      </c>
      <c r="M696" s="68">
        <f t="shared" si="10"/>
        <v>747.45</v>
      </c>
    </row>
    <row r="697" spans="1:13" x14ac:dyDescent="0.25">
      <c r="A697" s="70">
        <v>2036</v>
      </c>
      <c r="B697" s="70" t="s">
        <v>229</v>
      </c>
      <c r="C697" s="70">
        <v>0</v>
      </c>
      <c r="D697" s="70" t="s">
        <v>1482</v>
      </c>
      <c r="E697" s="70">
        <v>0</v>
      </c>
      <c r="F697" s="70"/>
      <c r="G697" s="70">
        <v>328.84</v>
      </c>
      <c r="H697" s="70">
        <v>-6.76</v>
      </c>
      <c r="I697" s="70">
        <v>-10.02</v>
      </c>
      <c r="J697" s="70">
        <v>0.23</v>
      </c>
      <c r="K697" s="70">
        <v>4.03</v>
      </c>
      <c r="L697" s="70">
        <v>-3.81</v>
      </c>
      <c r="M697" s="68">
        <f t="shared" si="10"/>
        <v>-328.84</v>
      </c>
    </row>
    <row r="698" spans="1:13" x14ac:dyDescent="0.25">
      <c r="A698" s="70">
        <v>2174</v>
      </c>
      <c r="B698" s="70" t="s">
        <v>229</v>
      </c>
      <c r="C698" s="70">
        <v>0</v>
      </c>
      <c r="D698" s="70" t="s">
        <v>1626</v>
      </c>
      <c r="E698" s="70">
        <v>0</v>
      </c>
      <c r="F698" s="70"/>
      <c r="G698" s="70">
        <v>328.45</v>
      </c>
      <c r="H698" s="70">
        <v>-6.75</v>
      </c>
      <c r="I698" s="70">
        <v>-10.050000000000001</v>
      </c>
      <c r="J698" s="70">
        <v>0.23</v>
      </c>
      <c r="K698" s="70">
        <v>4.03</v>
      </c>
      <c r="L698" s="70">
        <v>-3.81</v>
      </c>
      <c r="M698" s="68">
        <f t="shared" si="10"/>
        <v>-328.45</v>
      </c>
    </row>
    <row r="699" spans="1:13" x14ac:dyDescent="0.25">
      <c r="A699" s="70">
        <v>2371</v>
      </c>
      <c r="B699" s="70" t="s">
        <v>229</v>
      </c>
      <c r="C699" s="70">
        <v>0</v>
      </c>
      <c r="D699" s="70" t="s">
        <v>1822</v>
      </c>
      <c r="E699" s="70">
        <v>0</v>
      </c>
      <c r="F699" s="70"/>
      <c r="G699" s="70">
        <v>-576.08000000000004</v>
      </c>
      <c r="H699" s="70">
        <v>-10.87</v>
      </c>
      <c r="I699" s="70">
        <v>-10.050000000000001</v>
      </c>
      <c r="J699" s="70">
        <v>0.33</v>
      </c>
      <c r="K699" s="70">
        <v>-14.47</v>
      </c>
      <c r="L699" s="70">
        <v>-5.07</v>
      </c>
      <c r="M699" s="68">
        <f t="shared" si="10"/>
        <v>576.08000000000004</v>
      </c>
    </row>
    <row r="700" spans="1:13" x14ac:dyDescent="0.25">
      <c r="A700" s="70">
        <v>1819</v>
      </c>
      <c r="B700" s="70" t="s">
        <v>229</v>
      </c>
      <c r="C700" s="70">
        <v>0</v>
      </c>
      <c r="D700" s="70" t="s">
        <v>1246</v>
      </c>
      <c r="E700" s="70">
        <v>0</v>
      </c>
      <c r="F700" s="70"/>
      <c r="G700" s="70">
        <v>-577.41999999999996</v>
      </c>
      <c r="H700" s="70">
        <v>10.82</v>
      </c>
      <c r="I700" s="70">
        <v>-10.06</v>
      </c>
      <c r="J700" s="70">
        <v>0.33</v>
      </c>
      <c r="K700" s="70">
        <v>-14.49</v>
      </c>
      <c r="L700" s="70">
        <v>5.05</v>
      </c>
      <c r="M700" s="68">
        <f t="shared" si="10"/>
        <v>577.41999999999996</v>
      </c>
    </row>
    <row r="701" spans="1:13" x14ac:dyDescent="0.25">
      <c r="A701" s="70">
        <v>2009</v>
      </c>
      <c r="B701" s="70" t="s">
        <v>229</v>
      </c>
      <c r="C701" s="70">
        <v>0</v>
      </c>
      <c r="D701" s="70" t="s">
        <v>1432</v>
      </c>
      <c r="E701" s="70">
        <v>0</v>
      </c>
      <c r="F701" s="70"/>
      <c r="G701" s="70">
        <v>406.49</v>
      </c>
      <c r="H701" s="70">
        <v>-7.35</v>
      </c>
      <c r="I701" s="70">
        <v>-10.1</v>
      </c>
      <c r="J701" s="70">
        <v>-0.5</v>
      </c>
      <c r="K701" s="70">
        <v>8.75</v>
      </c>
      <c r="L701" s="70">
        <v>-3.39</v>
      </c>
      <c r="M701" s="68">
        <f t="shared" si="10"/>
        <v>-406.49</v>
      </c>
    </row>
    <row r="702" spans="1:13" x14ac:dyDescent="0.25">
      <c r="A702" s="70">
        <v>1899</v>
      </c>
      <c r="B702" s="70" t="s">
        <v>229</v>
      </c>
      <c r="C702" s="70">
        <v>0</v>
      </c>
      <c r="D702" s="70" t="s">
        <v>1340</v>
      </c>
      <c r="E702" s="70">
        <v>0</v>
      </c>
      <c r="F702" s="70"/>
      <c r="G702" s="70">
        <v>282.83</v>
      </c>
      <c r="H702" s="70">
        <v>-5.87</v>
      </c>
      <c r="I702" s="70">
        <v>-10.19</v>
      </c>
      <c r="J702" s="70">
        <v>0.19</v>
      </c>
      <c r="K702" s="70">
        <v>11.56</v>
      </c>
      <c r="L702" s="70">
        <v>-3.32</v>
      </c>
      <c r="M702" s="68">
        <f t="shared" si="10"/>
        <v>-282.83</v>
      </c>
    </row>
    <row r="703" spans="1:13" x14ac:dyDescent="0.25">
      <c r="A703" s="70">
        <v>58</v>
      </c>
      <c r="B703" s="70" t="s">
        <v>229</v>
      </c>
      <c r="C703" s="70">
        <v>0</v>
      </c>
      <c r="D703" s="70" t="s">
        <v>1142</v>
      </c>
      <c r="E703" s="70">
        <v>0</v>
      </c>
      <c r="F703" s="70"/>
      <c r="G703" s="70">
        <v>210.85</v>
      </c>
      <c r="H703" s="70">
        <v>-1.76</v>
      </c>
      <c r="I703" s="70">
        <v>-10.24</v>
      </c>
      <c r="J703" s="70">
        <v>-0.14000000000000001</v>
      </c>
      <c r="K703" s="70">
        <v>4.9400000000000004</v>
      </c>
      <c r="L703" s="70">
        <v>-0.83</v>
      </c>
      <c r="M703" s="68">
        <f t="shared" si="10"/>
        <v>-210.85</v>
      </c>
    </row>
    <row r="704" spans="1:13" x14ac:dyDescent="0.25">
      <c r="A704" s="70">
        <v>1865</v>
      </c>
      <c r="B704" s="70" t="s">
        <v>229</v>
      </c>
      <c r="C704" s="70">
        <v>0</v>
      </c>
      <c r="D704" s="70" t="s">
        <v>1276</v>
      </c>
      <c r="E704" s="70">
        <v>0</v>
      </c>
      <c r="F704" s="70"/>
      <c r="G704" s="70">
        <v>127.93</v>
      </c>
      <c r="H704" s="70">
        <v>4.68</v>
      </c>
      <c r="I704" s="70">
        <v>-10.24</v>
      </c>
      <c r="J704" s="70">
        <v>0.17</v>
      </c>
      <c r="K704" s="70">
        <v>11.96</v>
      </c>
      <c r="L704" s="70">
        <v>2</v>
      </c>
      <c r="M704" s="68">
        <f t="shared" si="10"/>
        <v>-127.93</v>
      </c>
    </row>
    <row r="705" spans="1:13" x14ac:dyDescent="0.25">
      <c r="A705" s="70">
        <v>2293</v>
      </c>
      <c r="B705" s="70" t="s">
        <v>229</v>
      </c>
      <c r="C705" s="70">
        <v>0</v>
      </c>
      <c r="D705" s="70" t="s">
        <v>1736</v>
      </c>
      <c r="E705" s="70">
        <v>0</v>
      </c>
      <c r="F705" s="70"/>
      <c r="G705" s="70">
        <v>-748.52</v>
      </c>
      <c r="H705" s="70">
        <v>10.59</v>
      </c>
      <c r="I705" s="70">
        <v>-10.24</v>
      </c>
      <c r="J705" s="70">
        <v>0.3</v>
      </c>
      <c r="K705" s="70">
        <v>-9.2200000000000006</v>
      </c>
      <c r="L705" s="70">
        <v>-5.35</v>
      </c>
      <c r="M705" s="68">
        <f t="shared" si="10"/>
        <v>748.52</v>
      </c>
    </row>
    <row r="706" spans="1:13" x14ac:dyDescent="0.25">
      <c r="A706" s="70">
        <v>2285</v>
      </c>
      <c r="B706" s="70" t="s">
        <v>229</v>
      </c>
      <c r="C706" s="70">
        <v>0</v>
      </c>
      <c r="D706" s="70" t="s">
        <v>1720</v>
      </c>
      <c r="E706" s="70">
        <v>0</v>
      </c>
      <c r="F706" s="70"/>
      <c r="G706" s="70">
        <v>407.13</v>
      </c>
      <c r="H706" s="70">
        <v>-7.36</v>
      </c>
      <c r="I706" s="70">
        <v>-10.25</v>
      </c>
      <c r="J706" s="70">
        <v>-0.5</v>
      </c>
      <c r="K706" s="70">
        <v>8.6999999999999993</v>
      </c>
      <c r="L706" s="70">
        <v>-3.4</v>
      </c>
      <c r="M706" s="68">
        <f t="shared" ref="M706:M769" si="11">G706*-1</f>
        <v>-407.13</v>
      </c>
    </row>
    <row r="707" spans="1:13" x14ac:dyDescent="0.25">
      <c r="A707" s="70">
        <v>1810</v>
      </c>
      <c r="B707" s="70" t="s">
        <v>229</v>
      </c>
      <c r="C707" s="70">
        <v>0</v>
      </c>
      <c r="D707" s="70" t="s">
        <v>1233</v>
      </c>
      <c r="E707" s="70">
        <v>4</v>
      </c>
      <c r="F707" s="70"/>
      <c r="G707" s="70">
        <v>-776.4</v>
      </c>
      <c r="H707" s="70">
        <v>-10.61</v>
      </c>
      <c r="I707" s="70">
        <v>-10.38</v>
      </c>
      <c r="J707" s="70">
        <v>0.3</v>
      </c>
      <c r="K707" s="70">
        <v>-8.69</v>
      </c>
      <c r="L707" s="70">
        <v>5.19</v>
      </c>
      <c r="M707" s="68">
        <f t="shared" si="11"/>
        <v>776.4</v>
      </c>
    </row>
    <row r="708" spans="1:13" x14ac:dyDescent="0.25">
      <c r="A708" s="70">
        <v>2560</v>
      </c>
      <c r="B708" s="70" t="s">
        <v>229</v>
      </c>
      <c r="C708" s="70">
        <v>0</v>
      </c>
      <c r="D708" s="70" t="s">
        <v>2006</v>
      </c>
      <c r="E708" s="70">
        <v>0</v>
      </c>
      <c r="F708" s="70"/>
      <c r="G708" s="70">
        <v>211.29</v>
      </c>
      <c r="H708" s="70">
        <v>-1.77</v>
      </c>
      <c r="I708" s="70">
        <v>-10.4</v>
      </c>
      <c r="J708" s="70">
        <v>-0.15</v>
      </c>
      <c r="K708" s="70">
        <v>4.88</v>
      </c>
      <c r="L708" s="70">
        <v>-0.83</v>
      </c>
      <c r="M708" s="68">
        <f t="shared" si="11"/>
        <v>-211.29</v>
      </c>
    </row>
    <row r="709" spans="1:13" x14ac:dyDescent="0.25">
      <c r="A709" s="70">
        <v>59</v>
      </c>
      <c r="B709" s="70" t="s">
        <v>229</v>
      </c>
      <c r="C709" s="70">
        <v>0</v>
      </c>
      <c r="D709" s="70" t="s">
        <v>1144</v>
      </c>
      <c r="E709" s="70">
        <v>0</v>
      </c>
      <c r="F709" s="70"/>
      <c r="G709" s="70">
        <v>205.51</v>
      </c>
      <c r="H709" s="70">
        <v>-1.76</v>
      </c>
      <c r="I709" s="70">
        <v>-10.48</v>
      </c>
      <c r="J709" s="70">
        <v>-0.17</v>
      </c>
      <c r="K709" s="70">
        <v>6.83</v>
      </c>
      <c r="L709" s="70">
        <v>-0.84</v>
      </c>
      <c r="M709" s="68">
        <f t="shared" si="11"/>
        <v>-205.51</v>
      </c>
    </row>
    <row r="710" spans="1:13" x14ac:dyDescent="0.25">
      <c r="A710" s="70">
        <v>2166</v>
      </c>
      <c r="B710" s="70" t="s">
        <v>229</v>
      </c>
      <c r="C710" s="70">
        <v>0</v>
      </c>
      <c r="D710" s="70" t="s">
        <v>1610</v>
      </c>
      <c r="E710" s="70">
        <v>0</v>
      </c>
      <c r="F710" s="70"/>
      <c r="G710" s="70">
        <v>-246.41</v>
      </c>
      <c r="H710" s="70">
        <v>-8.93</v>
      </c>
      <c r="I710" s="70">
        <v>-10.63</v>
      </c>
      <c r="J710" s="70">
        <v>-0.52</v>
      </c>
      <c r="K710" s="70">
        <v>-12.98</v>
      </c>
      <c r="L710" s="70">
        <v>-4.16</v>
      </c>
      <c r="M710" s="68">
        <f t="shared" si="11"/>
        <v>246.41</v>
      </c>
    </row>
    <row r="711" spans="1:13" x14ac:dyDescent="0.25">
      <c r="A711" s="70">
        <v>2028</v>
      </c>
      <c r="B711" s="70" t="s">
        <v>229</v>
      </c>
      <c r="C711" s="70">
        <v>0</v>
      </c>
      <c r="D711" s="70" t="s">
        <v>1466</v>
      </c>
      <c r="E711" s="70">
        <v>0</v>
      </c>
      <c r="F711" s="70"/>
      <c r="G711" s="70">
        <v>-246.72</v>
      </c>
      <c r="H711" s="70">
        <v>-8.92</v>
      </c>
      <c r="I711" s="70">
        <v>-10.66</v>
      </c>
      <c r="J711" s="70">
        <v>-0.52</v>
      </c>
      <c r="K711" s="70">
        <v>-13.07</v>
      </c>
      <c r="L711" s="70">
        <v>-4.16</v>
      </c>
      <c r="M711" s="68">
        <f t="shared" si="11"/>
        <v>246.72</v>
      </c>
    </row>
    <row r="712" spans="1:13" x14ac:dyDescent="0.25">
      <c r="A712" s="70">
        <v>2243</v>
      </c>
      <c r="B712" s="70" t="s">
        <v>229</v>
      </c>
      <c r="C712" s="70">
        <v>0</v>
      </c>
      <c r="D712" s="70" t="s">
        <v>1698</v>
      </c>
      <c r="E712" s="70">
        <v>0</v>
      </c>
      <c r="F712" s="70"/>
      <c r="G712" s="70">
        <v>330.37</v>
      </c>
      <c r="H712" s="70">
        <v>-6.74</v>
      </c>
      <c r="I712" s="70">
        <v>-10.66</v>
      </c>
      <c r="J712" s="70">
        <v>0.23</v>
      </c>
      <c r="K712" s="70">
        <v>4.58</v>
      </c>
      <c r="L712" s="70">
        <v>-3.8</v>
      </c>
      <c r="M712" s="68">
        <f t="shared" si="11"/>
        <v>-330.37</v>
      </c>
    </row>
    <row r="713" spans="1:13" x14ac:dyDescent="0.25">
      <c r="A713" s="70">
        <v>1894</v>
      </c>
      <c r="B713" s="70" t="s">
        <v>229</v>
      </c>
      <c r="C713" s="70">
        <v>0</v>
      </c>
      <c r="D713" s="70" t="s">
        <v>1330</v>
      </c>
      <c r="E713" s="70">
        <v>0</v>
      </c>
      <c r="F713" s="70"/>
      <c r="G713" s="70">
        <v>401.41</v>
      </c>
      <c r="H713" s="70">
        <v>-7.38</v>
      </c>
      <c r="I713" s="70">
        <v>-10.67</v>
      </c>
      <c r="J713" s="70">
        <v>-0.49</v>
      </c>
      <c r="K713" s="70">
        <v>11.63</v>
      </c>
      <c r="L713" s="70">
        <v>-3.93</v>
      </c>
      <c r="M713" s="68">
        <f t="shared" si="11"/>
        <v>-401.41</v>
      </c>
    </row>
    <row r="714" spans="1:13" x14ac:dyDescent="0.25">
      <c r="A714" s="70">
        <v>2561</v>
      </c>
      <c r="B714" s="70" t="s">
        <v>229</v>
      </c>
      <c r="C714" s="70">
        <v>0</v>
      </c>
      <c r="D714" s="70" t="s">
        <v>2008</v>
      </c>
      <c r="E714" s="70">
        <v>0</v>
      </c>
      <c r="F714" s="70"/>
      <c r="G714" s="70">
        <v>206.06</v>
      </c>
      <c r="H714" s="70">
        <v>-1.77</v>
      </c>
      <c r="I714" s="70">
        <v>-10.7</v>
      </c>
      <c r="J714" s="70">
        <v>-0.17</v>
      </c>
      <c r="K714" s="70">
        <v>6.74</v>
      </c>
      <c r="L714" s="70">
        <v>-0.84</v>
      </c>
      <c r="M714" s="68">
        <f t="shared" si="11"/>
        <v>-206.06</v>
      </c>
    </row>
    <row r="715" spans="1:13" x14ac:dyDescent="0.25">
      <c r="A715" s="70">
        <v>60</v>
      </c>
      <c r="B715" s="70" t="s">
        <v>229</v>
      </c>
      <c r="C715" s="70">
        <v>0</v>
      </c>
      <c r="D715" s="70" t="s">
        <v>1146</v>
      </c>
      <c r="E715" s="70">
        <v>0</v>
      </c>
      <c r="F715" s="70"/>
      <c r="G715" s="70">
        <v>165.4</v>
      </c>
      <c r="H715" s="70">
        <v>-1.77</v>
      </c>
      <c r="I715" s="70">
        <v>-10.74</v>
      </c>
      <c r="J715" s="70">
        <v>-0.19</v>
      </c>
      <c r="K715" s="70">
        <v>7.76</v>
      </c>
      <c r="L715" s="70">
        <v>-0.86</v>
      </c>
      <c r="M715" s="68">
        <f t="shared" si="11"/>
        <v>-165.4</v>
      </c>
    </row>
    <row r="716" spans="1:13" x14ac:dyDescent="0.25">
      <c r="A716" s="70">
        <v>1948</v>
      </c>
      <c r="B716" s="70" t="s">
        <v>229</v>
      </c>
      <c r="C716" s="70">
        <v>0</v>
      </c>
      <c r="D716" s="70" t="s">
        <v>1376</v>
      </c>
      <c r="E716" s="70">
        <v>0</v>
      </c>
      <c r="F716" s="70"/>
      <c r="G716" s="70">
        <v>-754.98</v>
      </c>
      <c r="H716" s="70">
        <v>-10.61</v>
      </c>
      <c r="I716" s="70">
        <v>-10.74</v>
      </c>
      <c r="J716" s="70">
        <v>0.3</v>
      </c>
      <c r="K716" s="70">
        <v>-10.029999999999999</v>
      </c>
      <c r="L716" s="70">
        <v>-5.36</v>
      </c>
      <c r="M716" s="68">
        <f t="shared" si="11"/>
        <v>754.98</v>
      </c>
    </row>
    <row r="717" spans="1:13" x14ac:dyDescent="0.25">
      <c r="A717" s="70">
        <v>1967</v>
      </c>
      <c r="B717" s="70" t="s">
        <v>229</v>
      </c>
      <c r="C717" s="70">
        <v>0</v>
      </c>
      <c r="D717" s="70" t="s">
        <v>1410</v>
      </c>
      <c r="E717" s="70">
        <v>0</v>
      </c>
      <c r="F717" s="70"/>
      <c r="G717" s="70">
        <v>330.71</v>
      </c>
      <c r="H717" s="70">
        <v>-6.76</v>
      </c>
      <c r="I717" s="70">
        <v>-10.77</v>
      </c>
      <c r="J717" s="70">
        <v>0.23</v>
      </c>
      <c r="K717" s="70">
        <v>4.57</v>
      </c>
      <c r="L717" s="70">
        <v>-3.82</v>
      </c>
      <c r="M717" s="68">
        <f t="shared" si="11"/>
        <v>-330.71</v>
      </c>
    </row>
    <row r="718" spans="1:13" x14ac:dyDescent="0.25">
      <c r="A718" s="70">
        <v>2486</v>
      </c>
      <c r="B718" s="70" t="s">
        <v>229</v>
      </c>
      <c r="C718" s="70">
        <v>0</v>
      </c>
      <c r="D718" s="70" t="s">
        <v>1924</v>
      </c>
      <c r="E718" s="70">
        <v>0</v>
      </c>
      <c r="F718" s="70"/>
      <c r="G718" s="70">
        <v>130.52000000000001</v>
      </c>
      <c r="H718" s="70">
        <v>4.66</v>
      </c>
      <c r="I718" s="70">
        <v>-10.88</v>
      </c>
      <c r="J718" s="70">
        <v>0.17</v>
      </c>
      <c r="K718" s="70">
        <v>12.08</v>
      </c>
      <c r="L718" s="70">
        <v>-2.0099999999999998</v>
      </c>
      <c r="M718" s="68">
        <f t="shared" si="11"/>
        <v>-130.52000000000001</v>
      </c>
    </row>
    <row r="719" spans="1:13" x14ac:dyDescent="0.25">
      <c r="A719" s="70">
        <v>9</v>
      </c>
      <c r="B719" s="70" t="s">
        <v>229</v>
      </c>
      <c r="C719" s="70">
        <v>0</v>
      </c>
      <c r="D719" s="70" t="s">
        <v>1111</v>
      </c>
      <c r="E719" s="70">
        <v>4</v>
      </c>
      <c r="F719" s="70"/>
      <c r="G719" s="70">
        <v>85.42</v>
      </c>
      <c r="H719" s="70">
        <v>-1.83</v>
      </c>
      <c r="I719" s="70">
        <v>-10.89</v>
      </c>
      <c r="J719" s="70">
        <v>-0.21</v>
      </c>
      <c r="K719" s="70">
        <v>7.37</v>
      </c>
      <c r="L719" s="70">
        <v>0.91</v>
      </c>
      <c r="M719" s="68">
        <f t="shared" si="11"/>
        <v>-85.42</v>
      </c>
    </row>
    <row r="720" spans="1:13" x14ac:dyDescent="0.25">
      <c r="A720" s="70">
        <v>2308</v>
      </c>
      <c r="B720" s="70" t="s">
        <v>229</v>
      </c>
      <c r="C720" s="70">
        <v>0</v>
      </c>
      <c r="D720" s="70" t="s">
        <v>1762</v>
      </c>
      <c r="E720" s="70">
        <v>0</v>
      </c>
      <c r="F720" s="70"/>
      <c r="G720" s="70">
        <v>400.58</v>
      </c>
      <c r="H720" s="70">
        <v>-7.36</v>
      </c>
      <c r="I720" s="70">
        <v>-10.89</v>
      </c>
      <c r="J720" s="70">
        <v>-0.49</v>
      </c>
      <c r="K720" s="70">
        <v>11.55</v>
      </c>
      <c r="L720" s="70">
        <v>-3.91</v>
      </c>
      <c r="M720" s="68">
        <f t="shared" si="11"/>
        <v>-400.58</v>
      </c>
    </row>
    <row r="721" spans="1:13" x14ac:dyDescent="0.25">
      <c r="A721" s="70">
        <v>8</v>
      </c>
      <c r="B721" s="70" t="s">
        <v>229</v>
      </c>
      <c r="C721" s="70">
        <v>0</v>
      </c>
      <c r="D721" s="70" t="s">
        <v>1109</v>
      </c>
      <c r="E721" s="70">
        <v>4</v>
      </c>
      <c r="F721" s="70"/>
      <c r="G721" s="70">
        <v>-33.78</v>
      </c>
      <c r="H721" s="70">
        <v>-1.97</v>
      </c>
      <c r="I721" s="70">
        <v>-10.9</v>
      </c>
      <c r="J721" s="70">
        <v>-0.2</v>
      </c>
      <c r="K721" s="70">
        <v>-5.28</v>
      </c>
      <c r="L721" s="70">
        <v>1</v>
      </c>
      <c r="M721" s="68">
        <f t="shared" si="11"/>
        <v>33.78</v>
      </c>
    </row>
    <row r="722" spans="1:13" x14ac:dyDescent="0.25">
      <c r="A722" s="70">
        <v>2562</v>
      </c>
      <c r="B722" s="70" t="s">
        <v>229</v>
      </c>
      <c r="C722" s="70">
        <v>0</v>
      </c>
      <c r="D722" s="70" t="s">
        <v>2010</v>
      </c>
      <c r="E722" s="70">
        <v>0</v>
      </c>
      <c r="F722" s="70"/>
      <c r="G722" s="70">
        <v>166.06</v>
      </c>
      <c r="H722" s="70">
        <v>-1.77</v>
      </c>
      <c r="I722" s="70">
        <v>-10.99</v>
      </c>
      <c r="J722" s="70">
        <v>-0.19</v>
      </c>
      <c r="K722" s="70">
        <v>7.65</v>
      </c>
      <c r="L722" s="70">
        <v>-0.86</v>
      </c>
      <c r="M722" s="68">
        <f t="shared" si="11"/>
        <v>-166.06</v>
      </c>
    </row>
    <row r="723" spans="1:13" x14ac:dyDescent="0.25">
      <c r="A723" s="70">
        <v>2362</v>
      </c>
      <c r="B723" s="70" t="s">
        <v>229</v>
      </c>
      <c r="C723" s="70">
        <v>0</v>
      </c>
      <c r="D723" s="70" t="s">
        <v>1808</v>
      </c>
      <c r="E723" s="70">
        <v>0</v>
      </c>
      <c r="F723" s="70"/>
      <c r="G723" s="70">
        <v>-756.44</v>
      </c>
      <c r="H723" s="70">
        <v>10.6</v>
      </c>
      <c r="I723" s="70">
        <v>-11</v>
      </c>
      <c r="J723" s="70">
        <v>0.3</v>
      </c>
      <c r="K723" s="70">
        <v>-9.94</v>
      </c>
      <c r="L723" s="70">
        <v>5.35</v>
      </c>
      <c r="M723" s="68">
        <f t="shared" si="11"/>
        <v>756.44</v>
      </c>
    </row>
    <row r="724" spans="1:13" x14ac:dyDescent="0.25">
      <c r="A724" s="70">
        <v>1758</v>
      </c>
      <c r="B724" s="70" t="s">
        <v>229</v>
      </c>
      <c r="C724" s="70">
        <v>0</v>
      </c>
      <c r="D724" s="70" t="s">
        <v>1190</v>
      </c>
      <c r="E724" s="70">
        <v>0</v>
      </c>
      <c r="F724" s="70"/>
      <c r="G724" s="70">
        <v>397.5</v>
      </c>
      <c r="H724" s="70">
        <v>-7.35</v>
      </c>
      <c r="I724" s="70">
        <v>-11.03</v>
      </c>
      <c r="J724" s="70">
        <v>-0.33</v>
      </c>
      <c r="K724" s="70">
        <v>7.49</v>
      </c>
      <c r="L724" s="70">
        <v>-4.07</v>
      </c>
      <c r="M724" s="68">
        <f t="shared" si="11"/>
        <v>-397.5</v>
      </c>
    </row>
    <row r="725" spans="1:13" x14ac:dyDescent="0.25">
      <c r="A725" s="70">
        <v>2382</v>
      </c>
      <c r="B725" s="70" t="s">
        <v>229</v>
      </c>
      <c r="C725" s="70">
        <v>0</v>
      </c>
      <c r="D725" s="70" t="s">
        <v>1844</v>
      </c>
      <c r="E725" s="70">
        <v>0</v>
      </c>
      <c r="F725" s="70"/>
      <c r="G725" s="70">
        <v>284.58999999999997</v>
      </c>
      <c r="H725" s="70">
        <v>-5.84</v>
      </c>
      <c r="I725" s="70">
        <v>-11.06</v>
      </c>
      <c r="J725" s="70">
        <v>0.19</v>
      </c>
      <c r="K725" s="70">
        <v>11.63</v>
      </c>
      <c r="L725" s="70">
        <v>-3.31</v>
      </c>
      <c r="M725" s="68">
        <f t="shared" si="11"/>
        <v>-284.58999999999997</v>
      </c>
    </row>
    <row r="726" spans="1:13" x14ac:dyDescent="0.25">
      <c r="A726" s="70">
        <v>2380</v>
      </c>
      <c r="B726" s="70" t="s">
        <v>229</v>
      </c>
      <c r="C726" s="70">
        <v>0</v>
      </c>
      <c r="D726" s="70" t="s">
        <v>1840</v>
      </c>
      <c r="E726" s="70">
        <v>0</v>
      </c>
      <c r="F726" s="70"/>
      <c r="G726" s="70">
        <v>362.17</v>
      </c>
      <c r="H726" s="70">
        <v>7.22</v>
      </c>
      <c r="I726" s="70">
        <v>-11.07</v>
      </c>
      <c r="J726" s="70">
        <v>0.27</v>
      </c>
      <c r="K726" s="70">
        <v>4.46</v>
      </c>
      <c r="L726" s="70">
        <v>4.0599999999999996</v>
      </c>
      <c r="M726" s="68">
        <f t="shared" si="11"/>
        <v>-362.17</v>
      </c>
    </row>
    <row r="727" spans="1:13" x14ac:dyDescent="0.25">
      <c r="A727" s="70">
        <v>1828</v>
      </c>
      <c r="B727" s="70" t="s">
        <v>229</v>
      </c>
      <c r="C727" s="70">
        <v>0</v>
      </c>
      <c r="D727" s="70" t="s">
        <v>1264</v>
      </c>
      <c r="E727" s="70">
        <v>0</v>
      </c>
      <c r="F727" s="70"/>
      <c r="G727" s="70">
        <v>362.56</v>
      </c>
      <c r="H727" s="70">
        <v>-7.2</v>
      </c>
      <c r="I727" s="70">
        <v>-11.08</v>
      </c>
      <c r="J727" s="70">
        <v>-0.27</v>
      </c>
      <c r="K727" s="70">
        <v>4.49</v>
      </c>
      <c r="L727" s="70">
        <v>-4.05</v>
      </c>
      <c r="M727" s="68">
        <f t="shared" si="11"/>
        <v>-362.56</v>
      </c>
    </row>
    <row r="728" spans="1:13" x14ac:dyDescent="0.25">
      <c r="A728" s="70">
        <v>2429</v>
      </c>
      <c r="B728" s="70" t="s">
        <v>229</v>
      </c>
      <c r="C728" s="70">
        <v>0</v>
      </c>
      <c r="D728" s="70" t="s">
        <v>1876</v>
      </c>
      <c r="E728" s="70">
        <v>0</v>
      </c>
      <c r="F728" s="70"/>
      <c r="G728" s="70">
        <v>-570.04</v>
      </c>
      <c r="H728" s="70">
        <v>-10.82</v>
      </c>
      <c r="I728" s="70">
        <v>-11.08</v>
      </c>
      <c r="J728" s="70">
        <v>0.33</v>
      </c>
      <c r="K728" s="70">
        <v>-15.34</v>
      </c>
      <c r="L728" s="70">
        <v>-5.69</v>
      </c>
      <c r="M728" s="68">
        <f t="shared" si="11"/>
        <v>570.04</v>
      </c>
    </row>
    <row r="729" spans="1:13" x14ac:dyDescent="0.25">
      <c r="A729" s="70">
        <v>1889</v>
      </c>
      <c r="B729" s="70" t="s">
        <v>229</v>
      </c>
      <c r="C729" s="70">
        <v>0</v>
      </c>
      <c r="D729" s="70" t="s">
        <v>1320</v>
      </c>
      <c r="E729" s="70">
        <v>0</v>
      </c>
      <c r="F729" s="70"/>
      <c r="G729" s="70">
        <v>-432.29</v>
      </c>
      <c r="H729" s="70">
        <v>-9.82</v>
      </c>
      <c r="I729" s="70">
        <v>-11.09</v>
      </c>
      <c r="J729" s="70">
        <v>-0.41</v>
      </c>
      <c r="K729" s="70">
        <v>-15.52</v>
      </c>
      <c r="L729" s="70">
        <v>-4.57</v>
      </c>
      <c r="M729" s="68">
        <f t="shared" si="11"/>
        <v>432.29</v>
      </c>
    </row>
    <row r="730" spans="1:13" x14ac:dyDescent="0.25">
      <c r="A730" s="70">
        <v>2512</v>
      </c>
      <c r="B730" s="70" t="s">
        <v>229</v>
      </c>
      <c r="C730" s="70">
        <v>0</v>
      </c>
      <c r="D730" s="70" t="s">
        <v>1973</v>
      </c>
      <c r="E730" s="70">
        <v>4</v>
      </c>
      <c r="F730" s="70"/>
      <c r="G730" s="70">
        <v>-32.83</v>
      </c>
      <c r="H730" s="70">
        <v>-1.98</v>
      </c>
      <c r="I730" s="70">
        <v>-11.12</v>
      </c>
      <c r="J730" s="70">
        <v>-0.2</v>
      </c>
      <c r="K730" s="70">
        <v>-5.16</v>
      </c>
      <c r="L730" s="70">
        <v>1</v>
      </c>
      <c r="M730" s="68">
        <f t="shared" si="11"/>
        <v>32.83</v>
      </c>
    </row>
    <row r="731" spans="1:13" x14ac:dyDescent="0.25">
      <c r="A731" s="70">
        <v>2303</v>
      </c>
      <c r="B731" s="70" t="s">
        <v>229</v>
      </c>
      <c r="C731" s="70">
        <v>0</v>
      </c>
      <c r="D731" s="70" t="s">
        <v>1752</v>
      </c>
      <c r="E731" s="70">
        <v>0</v>
      </c>
      <c r="F731" s="70"/>
      <c r="G731" s="70">
        <v>-430.36</v>
      </c>
      <c r="H731" s="70">
        <v>-9.86</v>
      </c>
      <c r="I731" s="70">
        <v>-11.14</v>
      </c>
      <c r="J731" s="70">
        <v>-0.41</v>
      </c>
      <c r="K731" s="70">
        <v>-15.44</v>
      </c>
      <c r="L731" s="70">
        <v>-4.59</v>
      </c>
      <c r="M731" s="68">
        <f t="shared" si="11"/>
        <v>430.36</v>
      </c>
    </row>
    <row r="732" spans="1:13" x14ac:dyDescent="0.25">
      <c r="A732" s="70">
        <v>2513</v>
      </c>
      <c r="B732" s="70" t="s">
        <v>229</v>
      </c>
      <c r="C732" s="70">
        <v>0</v>
      </c>
      <c r="D732" s="70" t="s">
        <v>1975</v>
      </c>
      <c r="E732" s="70">
        <v>4</v>
      </c>
      <c r="F732" s="70"/>
      <c r="G732" s="70">
        <v>84.81</v>
      </c>
      <c r="H732" s="70">
        <v>-1.84</v>
      </c>
      <c r="I732" s="70">
        <v>-11.14</v>
      </c>
      <c r="J732" s="70">
        <v>-0.21</v>
      </c>
      <c r="K732" s="70">
        <v>7.48</v>
      </c>
      <c r="L732" s="70">
        <v>0.91</v>
      </c>
      <c r="M732" s="68">
        <f t="shared" si="11"/>
        <v>-84.81</v>
      </c>
    </row>
    <row r="733" spans="1:13" x14ac:dyDescent="0.25">
      <c r="A733" s="70">
        <v>1877</v>
      </c>
      <c r="B733" s="70" t="s">
        <v>229</v>
      </c>
      <c r="C733" s="70">
        <v>0</v>
      </c>
      <c r="D733" s="70" t="s">
        <v>1300</v>
      </c>
      <c r="E733" s="70">
        <v>0</v>
      </c>
      <c r="F733" s="70"/>
      <c r="G733" s="70">
        <v>-568.71</v>
      </c>
      <c r="H733" s="70">
        <v>-10.88</v>
      </c>
      <c r="I733" s="70">
        <v>-11.19</v>
      </c>
      <c r="J733" s="70">
        <v>0.33</v>
      </c>
      <c r="K733" s="70">
        <v>-15.4</v>
      </c>
      <c r="L733" s="70">
        <v>-5.72</v>
      </c>
      <c r="M733" s="68">
        <f t="shared" si="11"/>
        <v>568.71</v>
      </c>
    </row>
    <row r="734" spans="1:13" x14ac:dyDescent="0.25">
      <c r="A734" s="70">
        <v>1938</v>
      </c>
      <c r="B734" s="70" t="s">
        <v>229</v>
      </c>
      <c r="C734" s="70">
        <v>0</v>
      </c>
      <c r="D734" s="70" t="s">
        <v>1356</v>
      </c>
      <c r="E734" s="70">
        <v>0</v>
      </c>
      <c r="F734" s="70"/>
      <c r="G734" s="70">
        <v>389.61</v>
      </c>
      <c r="H734" s="70">
        <v>-7.29</v>
      </c>
      <c r="I734" s="70">
        <v>-11.19</v>
      </c>
      <c r="J734" s="70">
        <v>-0.33</v>
      </c>
      <c r="K734" s="70">
        <v>3.84</v>
      </c>
      <c r="L734" s="70">
        <v>-3.2</v>
      </c>
      <c r="M734" s="68">
        <f t="shared" si="11"/>
        <v>-389.61</v>
      </c>
    </row>
    <row r="735" spans="1:13" x14ac:dyDescent="0.25">
      <c r="A735" s="70">
        <v>2430</v>
      </c>
      <c r="B735" s="70" t="s">
        <v>229</v>
      </c>
      <c r="C735" s="70">
        <v>0</v>
      </c>
      <c r="D735" s="70" t="s">
        <v>1878</v>
      </c>
      <c r="E735" s="70">
        <v>0</v>
      </c>
      <c r="F735" s="70"/>
      <c r="G735" s="70">
        <v>-676.02</v>
      </c>
      <c r="H735" s="70">
        <v>11.32</v>
      </c>
      <c r="I735" s="70">
        <v>-11.21</v>
      </c>
      <c r="J735" s="70">
        <v>0.31</v>
      </c>
      <c r="K735" s="70">
        <v>-13.25</v>
      </c>
      <c r="L735" s="70">
        <v>-5.88</v>
      </c>
      <c r="M735" s="68">
        <f t="shared" si="11"/>
        <v>676.02</v>
      </c>
    </row>
    <row r="736" spans="1:13" x14ac:dyDescent="0.25">
      <c r="A736" s="70">
        <v>2448</v>
      </c>
      <c r="B736" s="70" t="s">
        <v>229</v>
      </c>
      <c r="C736" s="70">
        <v>0</v>
      </c>
      <c r="D736" s="70" t="s">
        <v>1910</v>
      </c>
      <c r="E736" s="70">
        <v>0</v>
      </c>
      <c r="F736" s="70"/>
      <c r="G736" s="70">
        <v>396.84</v>
      </c>
      <c r="H736" s="70">
        <v>-7.3</v>
      </c>
      <c r="I736" s="70">
        <v>-11.23</v>
      </c>
      <c r="J736" s="70">
        <v>-0.33</v>
      </c>
      <c r="K736" s="70">
        <v>7.39</v>
      </c>
      <c r="L736" s="70">
        <v>4.05</v>
      </c>
      <c r="M736" s="68">
        <f t="shared" si="11"/>
        <v>-396.84</v>
      </c>
    </row>
    <row r="737" spans="1:13" x14ac:dyDescent="0.25">
      <c r="A737" s="70">
        <v>1796</v>
      </c>
      <c r="B737" s="70" t="s">
        <v>229</v>
      </c>
      <c r="C737" s="70">
        <v>0</v>
      </c>
      <c r="D737" s="70" t="s">
        <v>1204</v>
      </c>
      <c r="E737" s="70">
        <v>0</v>
      </c>
      <c r="F737" s="70"/>
      <c r="G737" s="70">
        <v>129.9</v>
      </c>
      <c r="H737" s="70">
        <v>4.68</v>
      </c>
      <c r="I737" s="70">
        <v>-11.26</v>
      </c>
      <c r="J737" s="70">
        <v>0.17</v>
      </c>
      <c r="K737" s="70">
        <v>12.13</v>
      </c>
      <c r="L737" s="70">
        <v>2</v>
      </c>
      <c r="M737" s="68">
        <f t="shared" si="11"/>
        <v>-129.9</v>
      </c>
    </row>
    <row r="738" spans="1:13" x14ac:dyDescent="0.25">
      <c r="A738" s="70">
        <v>1830</v>
      </c>
      <c r="B738" s="70" t="s">
        <v>229</v>
      </c>
      <c r="C738" s="70">
        <v>0</v>
      </c>
      <c r="D738" s="70" t="s">
        <v>1268</v>
      </c>
      <c r="E738" s="70">
        <v>0</v>
      </c>
      <c r="F738" s="70"/>
      <c r="G738" s="70">
        <v>284.81</v>
      </c>
      <c r="H738" s="70">
        <v>-5.87</v>
      </c>
      <c r="I738" s="70">
        <v>-11.28</v>
      </c>
      <c r="J738" s="70">
        <v>0.19</v>
      </c>
      <c r="K738" s="70">
        <v>11.67</v>
      </c>
      <c r="L738" s="70">
        <v>-3.32</v>
      </c>
      <c r="M738" s="68">
        <f t="shared" si="11"/>
        <v>-284.81</v>
      </c>
    </row>
    <row r="739" spans="1:13" x14ac:dyDescent="0.25">
      <c r="A739" s="70">
        <v>2352</v>
      </c>
      <c r="B739" s="70" t="s">
        <v>229</v>
      </c>
      <c r="C739" s="70">
        <v>0</v>
      </c>
      <c r="D739" s="70" t="s">
        <v>1788</v>
      </c>
      <c r="E739" s="70">
        <v>0</v>
      </c>
      <c r="F739" s="70"/>
      <c r="G739" s="70">
        <v>390.08</v>
      </c>
      <c r="H739" s="70">
        <v>-7.34</v>
      </c>
      <c r="I739" s="70">
        <v>-11.28</v>
      </c>
      <c r="J739" s="70">
        <v>-0.34</v>
      </c>
      <c r="K739" s="70">
        <v>3.79</v>
      </c>
      <c r="L739" s="70">
        <v>-3.22</v>
      </c>
      <c r="M739" s="68">
        <f t="shared" si="11"/>
        <v>-390.08</v>
      </c>
    </row>
    <row r="740" spans="1:13" x14ac:dyDescent="0.25">
      <c r="A740" s="70">
        <v>2008</v>
      </c>
      <c r="B740" s="70" t="s">
        <v>229</v>
      </c>
      <c r="C740" s="70">
        <v>0</v>
      </c>
      <c r="D740" s="70" t="s">
        <v>1430</v>
      </c>
      <c r="E740" s="70">
        <v>0</v>
      </c>
      <c r="F740" s="70"/>
      <c r="G740" s="70">
        <v>416.16</v>
      </c>
      <c r="H740" s="70">
        <v>-7.34</v>
      </c>
      <c r="I740" s="70">
        <v>-11.4</v>
      </c>
      <c r="J740" s="70">
        <v>-0.42</v>
      </c>
      <c r="K740" s="70">
        <v>5.48</v>
      </c>
      <c r="L740" s="70">
        <v>-3.3</v>
      </c>
      <c r="M740" s="68">
        <f t="shared" si="11"/>
        <v>-416.16</v>
      </c>
    </row>
    <row r="741" spans="1:13" x14ac:dyDescent="0.25">
      <c r="A741" s="70">
        <v>2098</v>
      </c>
      <c r="B741" s="70" t="s">
        <v>229</v>
      </c>
      <c r="C741" s="70">
        <v>0</v>
      </c>
      <c r="D741" s="70" t="s">
        <v>1540</v>
      </c>
      <c r="E741" s="70">
        <v>0</v>
      </c>
      <c r="F741" s="70"/>
      <c r="G741" s="70">
        <v>-52.01</v>
      </c>
      <c r="H741" s="70">
        <v>-8.24</v>
      </c>
      <c r="I741" s="70">
        <v>-11.44</v>
      </c>
      <c r="J741" s="70">
        <v>-0.56999999999999995</v>
      </c>
      <c r="K741" s="70">
        <v>-8.59</v>
      </c>
      <c r="L741" s="70">
        <v>-3.94</v>
      </c>
      <c r="M741" s="68">
        <f t="shared" si="11"/>
        <v>52.01</v>
      </c>
    </row>
    <row r="742" spans="1:13" x14ac:dyDescent="0.25">
      <c r="A742" s="70">
        <v>1878</v>
      </c>
      <c r="B742" s="70" t="s">
        <v>229</v>
      </c>
      <c r="C742" s="70">
        <v>0</v>
      </c>
      <c r="D742" s="70" t="s">
        <v>1302</v>
      </c>
      <c r="E742" s="70">
        <v>0</v>
      </c>
      <c r="F742" s="70"/>
      <c r="G742" s="70">
        <v>-675.45</v>
      </c>
      <c r="H742" s="70">
        <v>-11.37</v>
      </c>
      <c r="I742" s="70">
        <v>-11.45</v>
      </c>
      <c r="J742" s="70">
        <v>0.3</v>
      </c>
      <c r="K742" s="70">
        <v>-13.38</v>
      </c>
      <c r="L742" s="70">
        <v>-5.91</v>
      </c>
      <c r="M742" s="68">
        <f t="shared" si="11"/>
        <v>675.45</v>
      </c>
    </row>
    <row r="743" spans="1:13" x14ac:dyDescent="0.25">
      <c r="A743" s="70">
        <v>2284</v>
      </c>
      <c r="B743" s="70" t="s">
        <v>229</v>
      </c>
      <c r="C743" s="70">
        <v>0</v>
      </c>
      <c r="D743" s="70" t="s">
        <v>1718</v>
      </c>
      <c r="E743" s="70">
        <v>0</v>
      </c>
      <c r="F743" s="70"/>
      <c r="G743" s="70">
        <v>416.68</v>
      </c>
      <c r="H743" s="70">
        <v>-7.37</v>
      </c>
      <c r="I743" s="70">
        <v>-11.51</v>
      </c>
      <c r="J743" s="70">
        <v>-0.42</v>
      </c>
      <c r="K743" s="70">
        <v>5.44</v>
      </c>
      <c r="L743" s="70">
        <v>-3.31</v>
      </c>
      <c r="M743" s="68">
        <f t="shared" si="11"/>
        <v>-416.68</v>
      </c>
    </row>
    <row r="744" spans="1:13" x14ac:dyDescent="0.25">
      <c r="A744" s="70">
        <v>2099</v>
      </c>
      <c r="B744" s="70" t="s">
        <v>229</v>
      </c>
      <c r="C744" s="70">
        <v>0</v>
      </c>
      <c r="D744" s="70" t="s">
        <v>1542</v>
      </c>
      <c r="E744" s="70">
        <v>0</v>
      </c>
      <c r="F744" s="70"/>
      <c r="G744" s="70">
        <v>166.89</v>
      </c>
      <c r="H744" s="70">
        <v>-7.66</v>
      </c>
      <c r="I744" s="70">
        <v>-11.53</v>
      </c>
      <c r="J744" s="70">
        <v>-0.59</v>
      </c>
      <c r="K744" s="70">
        <v>-2.5</v>
      </c>
      <c r="L744" s="70">
        <v>-3.79</v>
      </c>
      <c r="M744" s="68">
        <f t="shared" si="11"/>
        <v>-166.89</v>
      </c>
    </row>
    <row r="745" spans="1:13" x14ac:dyDescent="0.25">
      <c r="A745" s="70">
        <v>1876</v>
      </c>
      <c r="B745" s="70" t="s">
        <v>229</v>
      </c>
      <c r="C745" s="70">
        <v>0</v>
      </c>
      <c r="D745" s="70" t="s">
        <v>1298</v>
      </c>
      <c r="E745" s="70">
        <v>0</v>
      </c>
      <c r="F745" s="70"/>
      <c r="G745" s="70">
        <v>-430.61</v>
      </c>
      <c r="H745" s="70">
        <v>-9.85</v>
      </c>
      <c r="I745" s="70">
        <v>-11.56</v>
      </c>
      <c r="J745" s="70">
        <v>-0.41</v>
      </c>
      <c r="K745" s="70">
        <v>-15.25</v>
      </c>
      <c r="L745" s="70">
        <v>-5.22</v>
      </c>
      <c r="M745" s="68">
        <f t="shared" si="11"/>
        <v>430.61</v>
      </c>
    </row>
    <row r="746" spans="1:13" x14ac:dyDescent="0.25">
      <c r="A746" s="70">
        <v>2428</v>
      </c>
      <c r="B746" s="70" t="s">
        <v>229</v>
      </c>
      <c r="C746" s="70">
        <v>0</v>
      </c>
      <c r="D746" s="70" t="s">
        <v>1874</v>
      </c>
      <c r="E746" s="70">
        <v>0</v>
      </c>
      <c r="F746" s="70"/>
      <c r="G746" s="70">
        <v>-432.2</v>
      </c>
      <c r="H746" s="70">
        <v>-9.8000000000000007</v>
      </c>
      <c r="I746" s="70">
        <v>-11.62</v>
      </c>
      <c r="J746" s="70">
        <v>-0.4</v>
      </c>
      <c r="K746" s="70">
        <v>-15.18</v>
      </c>
      <c r="L746" s="70">
        <v>-5.19</v>
      </c>
      <c r="M746" s="68">
        <f t="shared" si="11"/>
        <v>432.2</v>
      </c>
    </row>
    <row r="747" spans="1:13" x14ac:dyDescent="0.25">
      <c r="A747" s="70">
        <v>2312</v>
      </c>
      <c r="B747" s="70" t="s">
        <v>229</v>
      </c>
      <c r="C747" s="70">
        <v>0</v>
      </c>
      <c r="D747" s="70" t="s">
        <v>1770</v>
      </c>
      <c r="E747" s="70">
        <v>0</v>
      </c>
      <c r="F747" s="70"/>
      <c r="G747" s="70">
        <v>332.27</v>
      </c>
      <c r="H747" s="70">
        <v>-6.74</v>
      </c>
      <c r="I747" s="70">
        <v>-11.85</v>
      </c>
      <c r="J747" s="70">
        <v>0.23</v>
      </c>
      <c r="K747" s="70">
        <v>5.19</v>
      </c>
      <c r="L747" s="70">
        <v>-3.8</v>
      </c>
      <c r="M747" s="68">
        <f t="shared" si="11"/>
        <v>-332.27</v>
      </c>
    </row>
    <row r="748" spans="1:13" x14ac:dyDescent="0.25">
      <c r="A748" s="70">
        <v>1898</v>
      </c>
      <c r="B748" s="70" t="s">
        <v>229</v>
      </c>
      <c r="C748" s="70">
        <v>0</v>
      </c>
      <c r="D748" s="70" t="s">
        <v>1338</v>
      </c>
      <c r="E748" s="70">
        <v>0</v>
      </c>
      <c r="F748" s="70"/>
      <c r="G748" s="70">
        <v>332.57</v>
      </c>
      <c r="H748" s="70">
        <v>-6.77</v>
      </c>
      <c r="I748" s="70">
        <v>-11.97</v>
      </c>
      <c r="J748" s="70">
        <v>0.23</v>
      </c>
      <c r="K748" s="70">
        <v>5.17</v>
      </c>
      <c r="L748" s="70">
        <v>-3.82</v>
      </c>
      <c r="M748" s="68">
        <f t="shared" si="11"/>
        <v>-332.57</v>
      </c>
    </row>
    <row r="749" spans="1:13" x14ac:dyDescent="0.25">
      <c r="A749" s="70">
        <v>2440</v>
      </c>
      <c r="B749" s="70" t="s">
        <v>229</v>
      </c>
      <c r="C749" s="70">
        <v>0</v>
      </c>
      <c r="D749" s="70" t="s">
        <v>1894</v>
      </c>
      <c r="E749" s="70">
        <v>0</v>
      </c>
      <c r="F749" s="70"/>
      <c r="G749" s="70">
        <v>-583.9</v>
      </c>
      <c r="H749" s="70">
        <v>-10.88</v>
      </c>
      <c r="I749" s="70">
        <v>-12.02</v>
      </c>
      <c r="J749" s="70">
        <v>0.33</v>
      </c>
      <c r="K749" s="70">
        <v>-15.36</v>
      </c>
      <c r="L749" s="70">
        <v>-5.07</v>
      </c>
      <c r="M749" s="68">
        <f t="shared" si="11"/>
        <v>583.9</v>
      </c>
    </row>
    <row r="750" spans="1:13" x14ac:dyDescent="0.25">
      <c r="A750" s="70">
        <v>10</v>
      </c>
      <c r="B750" s="70" t="s">
        <v>229</v>
      </c>
      <c r="C750" s="70">
        <v>0</v>
      </c>
      <c r="D750" s="70" t="s">
        <v>1112</v>
      </c>
      <c r="E750" s="70">
        <v>0</v>
      </c>
      <c r="F750" s="70"/>
      <c r="G750" s="70">
        <v>163.43</v>
      </c>
      <c r="H750" s="70">
        <v>-1.77</v>
      </c>
      <c r="I750" s="70">
        <v>-12.04</v>
      </c>
      <c r="J750" s="70">
        <v>-0.19</v>
      </c>
      <c r="K750" s="70">
        <v>7.01</v>
      </c>
      <c r="L750" s="70">
        <v>-0.9</v>
      </c>
      <c r="M750" s="68">
        <f t="shared" si="11"/>
        <v>-163.43</v>
      </c>
    </row>
    <row r="751" spans="1:13" x14ac:dyDescent="0.25">
      <c r="A751" s="70">
        <v>1750</v>
      </c>
      <c r="B751" s="70" t="s">
        <v>229</v>
      </c>
      <c r="C751" s="70">
        <v>0</v>
      </c>
      <c r="D751" s="70" t="s">
        <v>1174</v>
      </c>
      <c r="E751" s="70">
        <v>0</v>
      </c>
      <c r="F751" s="70"/>
      <c r="G751" s="70">
        <v>-585.22</v>
      </c>
      <c r="H751" s="70">
        <v>10.83</v>
      </c>
      <c r="I751" s="70">
        <v>-12.04</v>
      </c>
      <c r="J751" s="70">
        <v>0.33</v>
      </c>
      <c r="K751" s="70">
        <v>-15.37</v>
      </c>
      <c r="L751" s="70">
        <v>5.05</v>
      </c>
      <c r="M751" s="68">
        <f t="shared" si="11"/>
        <v>585.22</v>
      </c>
    </row>
    <row r="752" spans="1:13" x14ac:dyDescent="0.25">
      <c r="A752" s="70">
        <v>1879</v>
      </c>
      <c r="B752" s="70" t="s">
        <v>229</v>
      </c>
      <c r="C752" s="70">
        <v>0</v>
      </c>
      <c r="D752" s="70" t="s">
        <v>1304</v>
      </c>
      <c r="E752" s="70">
        <v>0</v>
      </c>
      <c r="F752" s="70"/>
      <c r="G752" s="70">
        <v>-762.53</v>
      </c>
      <c r="H752" s="70">
        <v>-10.61</v>
      </c>
      <c r="I752" s="70">
        <v>-12.09</v>
      </c>
      <c r="J752" s="70">
        <v>0.3</v>
      </c>
      <c r="K752" s="70">
        <v>-10.83</v>
      </c>
      <c r="L752" s="70">
        <v>-5.36</v>
      </c>
      <c r="M752" s="68">
        <f t="shared" si="11"/>
        <v>762.53</v>
      </c>
    </row>
    <row r="753" spans="1:13" x14ac:dyDescent="0.25">
      <c r="A753" s="70">
        <v>2431</v>
      </c>
      <c r="B753" s="70" t="s">
        <v>229</v>
      </c>
      <c r="C753" s="70">
        <v>0</v>
      </c>
      <c r="D753" s="70" t="s">
        <v>1880</v>
      </c>
      <c r="E753" s="70">
        <v>0</v>
      </c>
      <c r="F753" s="70"/>
      <c r="G753" s="70">
        <v>-764.37</v>
      </c>
      <c r="H753" s="70">
        <v>10.6</v>
      </c>
      <c r="I753" s="70">
        <v>-12.11</v>
      </c>
      <c r="J753" s="70">
        <v>0.3</v>
      </c>
      <c r="K753" s="70">
        <v>-10.7</v>
      </c>
      <c r="L753" s="70">
        <v>5.35</v>
      </c>
      <c r="M753" s="68">
        <f t="shared" si="11"/>
        <v>764.37</v>
      </c>
    </row>
    <row r="754" spans="1:13" x14ac:dyDescent="0.25">
      <c r="A754" s="70">
        <v>2451</v>
      </c>
      <c r="B754" s="70" t="s">
        <v>229</v>
      </c>
      <c r="C754" s="70">
        <v>0</v>
      </c>
      <c r="D754" s="70" t="s">
        <v>1916</v>
      </c>
      <c r="E754" s="70">
        <v>0</v>
      </c>
      <c r="F754" s="70"/>
      <c r="G754" s="70">
        <v>286.54000000000002</v>
      </c>
      <c r="H754" s="70">
        <v>-5.84</v>
      </c>
      <c r="I754" s="70">
        <v>-12.12</v>
      </c>
      <c r="J754" s="70">
        <v>0.19</v>
      </c>
      <c r="K754" s="70">
        <v>11.74</v>
      </c>
      <c r="L754" s="70">
        <v>-3.31</v>
      </c>
      <c r="M754" s="68">
        <f t="shared" si="11"/>
        <v>-286.54000000000002</v>
      </c>
    </row>
    <row r="755" spans="1:13" x14ac:dyDescent="0.25">
      <c r="A755" s="70">
        <v>68</v>
      </c>
      <c r="B755" s="70" t="s">
        <v>229</v>
      </c>
      <c r="C755" s="70">
        <v>0</v>
      </c>
      <c r="D755" s="70" t="s">
        <v>1163</v>
      </c>
      <c r="E755" s="70">
        <v>4</v>
      </c>
      <c r="F755" s="70"/>
      <c r="G755" s="70">
        <v>-434.35</v>
      </c>
      <c r="H755" s="70">
        <v>1.87</v>
      </c>
      <c r="I755" s="70">
        <v>-12.17</v>
      </c>
      <c r="J755" s="70">
        <v>0.09</v>
      </c>
      <c r="K755" s="70">
        <v>11.19</v>
      </c>
      <c r="L755" s="70">
        <v>0.96</v>
      </c>
      <c r="M755" s="68">
        <f t="shared" si="11"/>
        <v>434.35</v>
      </c>
    </row>
    <row r="756" spans="1:13" x14ac:dyDescent="0.25">
      <c r="A756" s="70">
        <v>2514</v>
      </c>
      <c r="B756" s="70" t="s">
        <v>229</v>
      </c>
      <c r="C756" s="70">
        <v>0</v>
      </c>
      <c r="D756" s="70" t="s">
        <v>1976</v>
      </c>
      <c r="E756" s="70">
        <v>0</v>
      </c>
      <c r="F756" s="70"/>
      <c r="G756" s="70">
        <v>162.75</v>
      </c>
      <c r="H756" s="70">
        <v>-1.77</v>
      </c>
      <c r="I756" s="70">
        <v>-12.29</v>
      </c>
      <c r="J756" s="70">
        <v>-0.19</v>
      </c>
      <c r="K756" s="70">
        <v>6.9</v>
      </c>
      <c r="L756" s="70">
        <v>-0.89</v>
      </c>
      <c r="M756" s="68">
        <f t="shared" si="11"/>
        <v>-162.75</v>
      </c>
    </row>
    <row r="757" spans="1:13" x14ac:dyDescent="0.25">
      <c r="A757" s="70">
        <v>1962</v>
      </c>
      <c r="B757" s="70" t="s">
        <v>229</v>
      </c>
      <c r="C757" s="70">
        <v>0</v>
      </c>
      <c r="D757" s="70" t="s">
        <v>1400</v>
      </c>
      <c r="E757" s="70">
        <v>0</v>
      </c>
      <c r="F757" s="70"/>
      <c r="G757" s="70">
        <v>323.18</v>
      </c>
      <c r="H757" s="70">
        <v>-7.38</v>
      </c>
      <c r="I757" s="70">
        <v>-12.3</v>
      </c>
      <c r="J757" s="70">
        <v>-0.55000000000000004</v>
      </c>
      <c r="K757" s="70">
        <v>8.3800000000000008</v>
      </c>
      <c r="L757" s="70">
        <v>-3.81</v>
      </c>
      <c r="M757" s="68">
        <f t="shared" si="11"/>
        <v>-323.18</v>
      </c>
    </row>
    <row r="758" spans="1:13" x14ac:dyDescent="0.25">
      <c r="A758" s="70">
        <v>2570</v>
      </c>
      <c r="B758" s="70" t="s">
        <v>229</v>
      </c>
      <c r="C758" s="70">
        <v>0</v>
      </c>
      <c r="D758" s="70" t="s">
        <v>2027</v>
      </c>
      <c r="E758" s="70">
        <v>4</v>
      </c>
      <c r="F758" s="70"/>
      <c r="G758" s="70">
        <v>-436.04</v>
      </c>
      <c r="H758" s="70">
        <v>1.88</v>
      </c>
      <c r="I758" s="70">
        <v>-12.34</v>
      </c>
      <c r="J758" s="70">
        <v>0.09</v>
      </c>
      <c r="K758" s="70">
        <v>11.36</v>
      </c>
      <c r="L758" s="70">
        <v>-0.97</v>
      </c>
      <c r="M758" s="68">
        <f t="shared" si="11"/>
        <v>436.04</v>
      </c>
    </row>
    <row r="759" spans="1:13" x14ac:dyDescent="0.25">
      <c r="A759" s="70">
        <v>7</v>
      </c>
      <c r="B759" s="70" t="s">
        <v>229</v>
      </c>
      <c r="C759" s="70">
        <v>0</v>
      </c>
      <c r="D759" s="70" t="s">
        <v>1106</v>
      </c>
      <c r="E759" s="70">
        <v>0</v>
      </c>
      <c r="F759" s="70"/>
      <c r="G759" s="70">
        <v>-135.83000000000001</v>
      </c>
      <c r="H759" s="70">
        <v>-2.13</v>
      </c>
      <c r="I759" s="70">
        <v>-12.38</v>
      </c>
      <c r="J759" s="70">
        <v>-0.18</v>
      </c>
      <c r="K759" s="70">
        <v>-9.67</v>
      </c>
      <c r="L759" s="70">
        <v>-1.02</v>
      </c>
      <c r="M759" s="68">
        <f t="shared" si="11"/>
        <v>135.83000000000001</v>
      </c>
    </row>
    <row r="760" spans="1:13" x14ac:dyDescent="0.25">
      <c r="A760" s="70">
        <v>1761</v>
      </c>
      <c r="B760" s="70" t="s">
        <v>229</v>
      </c>
      <c r="C760" s="70">
        <v>0</v>
      </c>
      <c r="D760" s="70" t="s">
        <v>1196</v>
      </c>
      <c r="E760" s="70">
        <v>0</v>
      </c>
      <c r="F760" s="70"/>
      <c r="G760" s="70">
        <v>286.83</v>
      </c>
      <c r="H760" s="70">
        <v>-5.87</v>
      </c>
      <c r="I760" s="70">
        <v>-12.38</v>
      </c>
      <c r="J760" s="70">
        <v>0.19</v>
      </c>
      <c r="K760" s="70">
        <v>11.8</v>
      </c>
      <c r="L760" s="70">
        <v>-3.32</v>
      </c>
      <c r="M760" s="68">
        <f t="shared" si="11"/>
        <v>-286.83</v>
      </c>
    </row>
    <row r="761" spans="1:13" x14ac:dyDescent="0.25">
      <c r="A761" s="70">
        <v>1892</v>
      </c>
      <c r="B761" s="70" t="s">
        <v>229</v>
      </c>
      <c r="C761" s="70">
        <v>0</v>
      </c>
      <c r="D761" s="70" t="s">
        <v>1327</v>
      </c>
      <c r="E761" s="70">
        <v>4</v>
      </c>
      <c r="F761" s="70"/>
      <c r="G761" s="70">
        <v>169.26</v>
      </c>
      <c r="H761" s="70">
        <v>-7.66</v>
      </c>
      <c r="I761" s="70">
        <v>-12.4</v>
      </c>
      <c r="J761" s="70">
        <v>-0.59</v>
      </c>
      <c r="K761" s="70">
        <v>10.14</v>
      </c>
      <c r="L761" s="70">
        <v>3.82</v>
      </c>
      <c r="M761" s="68">
        <f t="shared" si="11"/>
        <v>-169.26</v>
      </c>
    </row>
    <row r="762" spans="1:13" x14ac:dyDescent="0.25">
      <c r="A762" s="70">
        <v>2447</v>
      </c>
      <c r="B762" s="70" t="s">
        <v>229</v>
      </c>
      <c r="C762" s="70">
        <v>0</v>
      </c>
      <c r="D762" s="70" t="s">
        <v>1908</v>
      </c>
      <c r="E762" s="70">
        <v>0</v>
      </c>
      <c r="F762" s="70"/>
      <c r="G762" s="70">
        <v>420.13</v>
      </c>
      <c r="H762" s="70">
        <v>-7.35</v>
      </c>
      <c r="I762" s="70">
        <v>-12.41</v>
      </c>
      <c r="J762" s="70">
        <v>-0.41</v>
      </c>
      <c r="K762" s="70">
        <v>11.59</v>
      </c>
      <c r="L762" s="70">
        <v>-3.99</v>
      </c>
      <c r="M762" s="68">
        <f t="shared" si="11"/>
        <v>-420.13</v>
      </c>
    </row>
    <row r="763" spans="1:13" x14ac:dyDescent="0.25">
      <c r="A763" s="70">
        <v>2238</v>
      </c>
      <c r="B763" s="70" t="s">
        <v>229</v>
      </c>
      <c r="C763" s="70">
        <v>0</v>
      </c>
      <c r="D763" s="70" t="s">
        <v>1688</v>
      </c>
      <c r="E763" s="70">
        <v>0</v>
      </c>
      <c r="F763" s="70"/>
      <c r="G763" s="70">
        <v>322.31</v>
      </c>
      <c r="H763" s="70">
        <v>-7.38</v>
      </c>
      <c r="I763" s="70">
        <v>-12.47</v>
      </c>
      <c r="J763" s="70">
        <v>-0.55000000000000004</v>
      </c>
      <c r="K763" s="70">
        <v>8.32</v>
      </c>
      <c r="L763" s="70">
        <v>-3.8</v>
      </c>
      <c r="M763" s="68">
        <f t="shared" si="11"/>
        <v>-322.31</v>
      </c>
    </row>
    <row r="764" spans="1:13" x14ac:dyDescent="0.25">
      <c r="A764" s="70">
        <v>2511</v>
      </c>
      <c r="B764" s="70" t="s">
        <v>229</v>
      </c>
      <c r="C764" s="70">
        <v>0</v>
      </c>
      <c r="D764" s="70" t="s">
        <v>1970</v>
      </c>
      <c r="E764" s="70">
        <v>0</v>
      </c>
      <c r="F764" s="70"/>
      <c r="G764" s="70">
        <v>-135.03</v>
      </c>
      <c r="H764" s="70">
        <v>-2.14</v>
      </c>
      <c r="I764" s="70">
        <v>-12.52</v>
      </c>
      <c r="J764" s="70">
        <v>-0.18</v>
      </c>
      <c r="K764" s="70">
        <v>-9.65</v>
      </c>
      <c r="L764" s="70">
        <v>-1.03</v>
      </c>
      <c r="M764" s="68">
        <f t="shared" si="11"/>
        <v>135.03</v>
      </c>
    </row>
    <row r="765" spans="1:13" x14ac:dyDescent="0.25">
      <c r="A765" s="70">
        <v>2449</v>
      </c>
      <c r="B765" s="70" t="s">
        <v>229</v>
      </c>
      <c r="C765" s="70">
        <v>0</v>
      </c>
      <c r="D765" s="70" t="s">
        <v>1912</v>
      </c>
      <c r="E765" s="70">
        <v>0</v>
      </c>
      <c r="F765" s="70"/>
      <c r="G765" s="70">
        <v>363.98</v>
      </c>
      <c r="H765" s="70">
        <v>7.22</v>
      </c>
      <c r="I765" s="70">
        <v>-12.62</v>
      </c>
      <c r="J765" s="70">
        <v>0.27</v>
      </c>
      <c r="K765" s="70">
        <v>5.23</v>
      </c>
      <c r="L765" s="70">
        <v>4.0599999999999996</v>
      </c>
      <c r="M765" s="68">
        <f t="shared" si="11"/>
        <v>-363.98</v>
      </c>
    </row>
    <row r="766" spans="1:13" x14ac:dyDescent="0.25">
      <c r="A766" s="70">
        <v>1759</v>
      </c>
      <c r="B766" s="70" t="s">
        <v>229</v>
      </c>
      <c r="C766" s="70">
        <v>0</v>
      </c>
      <c r="D766" s="70" t="s">
        <v>1192</v>
      </c>
      <c r="E766" s="70">
        <v>0</v>
      </c>
      <c r="F766" s="70"/>
      <c r="G766" s="70">
        <v>364.46</v>
      </c>
      <c r="H766" s="70">
        <v>-7.2</v>
      </c>
      <c r="I766" s="70">
        <v>-12.63</v>
      </c>
      <c r="J766" s="70">
        <v>-0.27</v>
      </c>
      <c r="K766" s="70">
        <v>5.26</v>
      </c>
      <c r="L766" s="70">
        <v>-4.05</v>
      </c>
      <c r="M766" s="68">
        <f t="shared" si="11"/>
        <v>-364.46</v>
      </c>
    </row>
    <row r="767" spans="1:13" x14ac:dyDescent="0.25">
      <c r="A767" s="70">
        <v>2306</v>
      </c>
      <c r="B767" s="70" t="s">
        <v>229</v>
      </c>
      <c r="C767" s="70">
        <v>0</v>
      </c>
      <c r="D767" s="70" t="s">
        <v>1759</v>
      </c>
      <c r="E767" s="70">
        <v>4</v>
      </c>
      <c r="F767" s="70"/>
      <c r="G767" s="70">
        <v>168.58</v>
      </c>
      <c r="H767" s="70">
        <v>-7.67</v>
      </c>
      <c r="I767" s="70">
        <v>-12.66</v>
      </c>
      <c r="J767" s="70">
        <v>-0.59</v>
      </c>
      <c r="K767" s="70">
        <v>10.24</v>
      </c>
      <c r="L767" s="70">
        <v>3.83</v>
      </c>
      <c r="M767" s="68">
        <f t="shared" si="11"/>
        <v>-168.58</v>
      </c>
    </row>
    <row r="768" spans="1:13" x14ac:dyDescent="0.25">
      <c r="A768" s="70">
        <v>1891</v>
      </c>
      <c r="B768" s="70" t="s">
        <v>229</v>
      </c>
      <c r="C768" s="70">
        <v>0</v>
      </c>
      <c r="D768" s="70" t="s">
        <v>1325</v>
      </c>
      <c r="E768" s="70">
        <v>4</v>
      </c>
      <c r="F768" s="70"/>
      <c r="G768" s="70">
        <v>-58.24</v>
      </c>
      <c r="H768" s="70">
        <v>-8.23</v>
      </c>
      <c r="I768" s="70">
        <v>-12.68</v>
      </c>
      <c r="J768" s="70">
        <v>-0.56999999999999995</v>
      </c>
      <c r="K768" s="70">
        <v>-6.37</v>
      </c>
      <c r="L768" s="70">
        <v>4.2300000000000004</v>
      </c>
      <c r="M768" s="68">
        <f t="shared" si="11"/>
        <v>58.24</v>
      </c>
    </row>
    <row r="769" spans="1:13" x14ac:dyDescent="0.25">
      <c r="A769" s="70">
        <v>1941</v>
      </c>
      <c r="B769" s="70" t="s">
        <v>229</v>
      </c>
      <c r="C769" s="70">
        <v>0</v>
      </c>
      <c r="D769" s="70" t="s">
        <v>1362</v>
      </c>
      <c r="E769" s="70">
        <v>0</v>
      </c>
      <c r="F769" s="70"/>
      <c r="G769" s="70">
        <v>328.47</v>
      </c>
      <c r="H769" s="70">
        <v>-7.37</v>
      </c>
      <c r="I769" s="70">
        <v>-12.69</v>
      </c>
      <c r="J769" s="70">
        <v>-0.56000000000000005</v>
      </c>
      <c r="K769" s="70">
        <v>11.15</v>
      </c>
      <c r="L769" s="70">
        <v>-3.55</v>
      </c>
      <c r="M769" s="68">
        <f t="shared" si="11"/>
        <v>-328.47</v>
      </c>
    </row>
    <row r="770" spans="1:13" x14ac:dyDescent="0.25">
      <c r="A770" s="70">
        <v>1821</v>
      </c>
      <c r="B770" s="70" t="s">
        <v>229</v>
      </c>
      <c r="C770" s="70">
        <v>0</v>
      </c>
      <c r="D770" s="70" t="s">
        <v>1251</v>
      </c>
      <c r="E770" s="70">
        <v>4</v>
      </c>
      <c r="F770" s="70"/>
      <c r="G770" s="70">
        <v>-259.52</v>
      </c>
      <c r="H770" s="70">
        <v>-8.9</v>
      </c>
      <c r="I770" s="70">
        <v>-12.86</v>
      </c>
      <c r="J770" s="70">
        <v>-0.52</v>
      </c>
      <c r="K770" s="70">
        <v>-12.69</v>
      </c>
      <c r="L770" s="70">
        <v>4.6900000000000004</v>
      </c>
      <c r="M770" s="68">
        <f t="shared" ref="M770:M833" si="12">G770*-1</f>
        <v>259.52</v>
      </c>
    </row>
    <row r="771" spans="1:13" x14ac:dyDescent="0.25">
      <c r="A771" s="70">
        <v>2305</v>
      </c>
      <c r="B771" s="70" t="s">
        <v>229</v>
      </c>
      <c r="C771" s="70">
        <v>0</v>
      </c>
      <c r="D771" s="70" t="s">
        <v>1757</v>
      </c>
      <c r="E771" s="70">
        <v>4</v>
      </c>
      <c r="F771" s="70"/>
      <c r="G771" s="70">
        <v>-57.34</v>
      </c>
      <c r="H771" s="70">
        <v>-8.25</v>
      </c>
      <c r="I771" s="70">
        <v>-12.91</v>
      </c>
      <c r="J771" s="70">
        <v>-0.56999999999999995</v>
      </c>
      <c r="K771" s="70">
        <v>-6.23</v>
      </c>
      <c r="L771" s="70">
        <v>4.24</v>
      </c>
      <c r="M771" s="68">
        <f t="shared" si="12"/>
        <v>57.34</v>
      </c>
    </row>
    <row r="772" spans="1:13" x14ac:dyDescent="0.25">
      <c r="A772" s="70">
        <v>2355</v>
      </c>
      <c r="B772" s="70" t="s">
        <v>229</v>
      </c>
      <c r="C772" s="70">
        <v>0</v>
      </c>
      <c r="D772" s="70" t="s">
        <v>1794</v>
      </c>
      <c r="E772" s="70">
        <v>0</v>
      </c>
      <c r="F772" s="70"/>
      <c r="G772" s="70">
        <v>329.46</v>
      </c>
      <c r="H772" s="70">
        <v>-7.37</v>
      </c>
      <c r="I772" s="70">
        <v>-12.95</v>
      </c>
      <c r="J772" s="70">
        <v>-0.56000000000000005</v>
      </c>
      <c r="K772" s="70">
        <v>11.05</v>
      </c>
      <c r="L772" s="70">
        <v>-3.55</v>
      </c>
      <c r="M772" s="68">
        <f t="shared" si="12"/>
        <v>-329.46</v>
      </c>
    </row>
    <row r="773" spans="1:13" x14ac:dyDescent="0.25">
      <c r="A773" s="70">
        <v>2499</v>
      </c>
      <c r="B773" s="70" t="s">
        <v>229</v>
      </c>
      <c r="C773" s="70">
        <v>0</v>
      </c>
      <c r="D773" s="70" t="s">
        <v>1950</v>
      </c>
      <c r="E773" s="70">
        <v>0</v>
      </c>
      <c r="F773" s="70"/>
      <c r="G773" s="70">
        <v>-682.73</v>
      </c>
      <c r="H773" s="70">
        <v>11.32</v>
      </c>
      <c r="I773" s="70">
        <v>-12.95</v>
      </c>
      <c r="J773" s="70">
        <v>0.31</v>
      </c>
      <c r="K773" s="70">
        <v>-13.9</v>
      </c>
      <c r="L773" s="70">
        <v>-5.88</v>
      </c>
      <c r="M773" s="68">
        <f t="shared" si="12"/>
        <v>682.73</v>
      </c>
    </row>
    <row r="774" spans="1:13" x14ac:dyDescent="0.25">
      <c r="A774" s="70">
        <v>1940</v>
      </c>
      <c r="B774" s="70" t="s">
        <v>229</v>
      </c>
      <c r="C774" s="70">
        <v>0</v>
      </c>
      <c r="D774" s="70" t="s">
        <v>1360</v>
      </c>
      <c r="E774" s="70">
        <v>0</v>
      </c>
      <c r="F774" s="70"/>
      <c r="G774" s="70">
        <v>407.7</v>
      </c>
      <c r="H774" s="70">
        <v>-7.34</v>
      </c>
      <c r="I774" s="70">
        <v>-13</v>
      </c>
      <c r="J774" s="70">
        <v>-0.5</v>
      </c>
      <c r="K774" s="70">
        <v>10</v>
      </c>
      <c r="L774" s="70">
        <v>-3.39</v>
      </c>
      <c r="M774" s="68">
        <f t="shared" si="12"/>
        <v>-407.7</v>
      </c>
    </row>
    <row r="775" spans="1:13" x14ac:dyDescent="0.25">
      <c r="A775" s="70">
        <v>2498</v>
      </c>
      <c r="B775" s="70" t="s">
        <v>229</v>
      </c>
      <c r="C775" s="70">
        <v>0</v>
      </c>
      <c r="D775" s="70" t="s">
        <v>1948</v>
      </c>
      <c r="E775" s="70">
        <v>0</v>
      </c>
      <c r="F775" s="70"/>
      <c r="G775" s="70">
        <v>-577.87</v>
      </c>
      <c r="H775" s="70">
        <v>10.83</v>
      </c>
      <c r="I775" s="70">
        <v>-13.01</v>
      </c>
      <c r="J775" s="70">
        <v>0.33</v>
      </c>
      <c r="K775" s="70">
        <v>-16.22</v>
      </c>
      <c r="L775" s="70">
        <v>-5.68</v>
      </c>
      <c r="M775" s="68">
        <f t="shared" si="12"/>
        <v>577.87</v>
      </c>
    </row>
    <row r="776" spans="1:13" x14ac:dyDescent="0.25">
      <c r="A776" s="70">
        <v>2381</v>
      </c>
      <c r="B776" s="70" t="s">
        <v>229</v>
      </c>
      <c r="C776" s="70">
        <v>0</v>
      </c>
      <c r="D776" s="70" t="s">
        <v>1842</v>
      </c>
      <c r="E776" s="70">
        <v>0</v>
      </c>
      <c r="F776" s="70"/>
      <c r="G776" s="70">
        <v>334.17</v>
      </c>
      <c r="H776" s="70">
        <v>-6.73</v>
      </c>
      <c r="I776" s="70">
        <v>-13.03</v>
      </c>
      <c r="J776" s="70">
        <v>0.23</v>
      </c>
      <c r="K776" s="70">
        <v>5.83</v>
      </c>
      <c r="L776" s="70">
        <v>3.8</v>
      </c>
      <c r="M776" s="68">
        <f t="shared" si="12"/>
        <v>-334.17</v>
      </c>
    </row>
    <row r="777" spans="1:13" x14ac:dyDescent="0.25">
      <c r="A777" s="70">
        <v>2373</v>
      </c>
      <c r="B777" s="70" t="s">
        <v>229</v>
      </c>
      <c r="C777" s="70">
        <v>0</v>
      </c>
      <c r="D777" s="70" t="s">
        <v>1827</v>
      </c>
      <c r="E777" s="70">
        <v>4</v>
      </c>
      <c r="F777" s="70"/>
      <c r="G777" s="70">
        <v>-257.95</v>
      </c>
      <c r="H777" s="70">
        <v>-8.94</v>
      </c>
      <c r="I777" s="70">
        <v>-13.06</v>
      </c>
      <c r="J777" s="70">
        <v>-0.52</v>
      </c>
      <c r="K777" s="70">
        <v>-12.57</v>
      </c>
      <c r="L777" s="70">
        <v>4.71</v>
      </c>
      <c r="M777" s="68">
        <f t="shared" si="12"/>
        <v>257.95</v>
      </c>
    </row>
    <row r="778" spans="1:13" x14ac:dyDescent="0.25">
      <c r="A778" s="70">
        <v>1808</v>
      </c>
      <c r="B778" s="70" t="s">
        <v>229</v>
      </c>
      <c r="C778" s="70">
        <v>0</v>
      </c>
      <c r="D778" s="70" t="s">
        <v>1228</v>
      </c>
      <c r="E778" s="70">
        <v>0</v>
      </c>
      <c r="F778" s="70"/>
      <c r="G778" s="70">
        <v>-576.54999999999995</v>
      </c>
      <c r="H778" s="70">
        <v>-10.88</v>
      </c>
      <c r="I778" s="70">
        <v>-13.11</v>
      </c>
      <c r="J778" s="70">
        <v>0.33</v>
      </c>
      <c r="K778" s="70">
        <v>-16.27</v>
      </c>
      <c r="L778" s="70">
        <v>-5.72</v>
      </c>
      <c r="M778" s="68">
        <f t="shared" si="12"/>
        <v>576.54999999999995</v>
      </c>
    </row>
    <row r="779" spans="1:13" x14ac:dyDescent="0.25">
      <c r="A779" s="70">
        <v>1869</v>
      </c>
      <c r="B779" s="70" t="s">
        <v>229</v>
      </c>
      <c r="C779" s="70">
        <v>0</v>
      </c>
      <c r="D779" s="70" t="s">
        <v>1284</v>
      </c>
      <c r="E779" s="70">
        <v>0</v>
      </c>
      <c r="F779" s="70"/>
      <c r="G779" s="70">
        <v>391.28</v>
      </c>
      <c r="H779" s="70">
        <v>-7.29</v>
      </c>
      <c r="I779" s="70">
        <v>-13.14</v>
      </c>
      <c r="J779" s="70">
        <v>-0.33</v>
      </c>
      <c r="K779" s="70">
        <v>4.75</v>
      </c>
      <c r="L779" s="70">
        <v>-3.2</v>
      </c>
      <c r="M779" s="68">
        <f t="shared" si="12"/>
        <v>-391.28</v>
      </c>
    </row>
    <row r="780" spans="1:13" x14ac:dyDescent="0.25">
      <c r="A780" s="70">
        <v>1829</v>
      </c>
      <c r="B780" s="70" t="s">
        <v>229</v>
      </c>
      <c r="C780" s="70">
        <v>0</v>
      </c>
      <c r="D780" s="70" t="s">
        <v>1266</v>
      </c>
      <c r="E780" s="70">
        <v>0</v>
      </c>
      <c r="F780" s="70"/>
      <c r="G780" s="70">
        <v>334.45</v>
      </c>
      <c r="H780" s="70">
        <v>-6.77</v>
      </c>
      <c r="I780" s="70">
        <v>-13.17</v>
      </c>
      <c r="J780" s="70">
        <v>0.23</v>
      </c>
      <c r="K780" s="70">
        <v>5.81</v>
      </c>
      <c r="L780" s="70">
        <v>-3.82</v>
      </c>
      <c r="M780" s="68">
        <f t="shared" si="12"/>
        <v>-334.45</v>
      </c>
    </row>
    <row r="781" spans="1:13" x14ac:dyDescent="0.25">
      <c r="A781" s="70">
        <v>2354</v>
      </c>
      <c r="B781" s="70" t="s">
        <v>229</v>
      </c>
      <c r="C781" s="70">
        <v>0</v>
      </c>
      <c r="D781" s="70" t="s">
        <v>1792</v>
      </c>
      <c r="E781" s="70">
        <v>0</v>
      </c>
      <c r="F781" s="70"/>
      <c r="G781" s="70">
        <v>408.46</v>
      </c>
      <c r="H781" s="70">
        <v>-7.37</v>
      </c>
      <c r="I781" s="70">
        <v>-13.22</v>
      </c>
      <c r="J781" s="70">
        <v>-0.5</v>
      </c>
      <c r="K781" s="70">
        <v>9.91</v>
      </c>
      <c r="L781" s="70">
        <v>-3.4</v>
      </c>
      <c r="M781" s="68">
        <f t="shared" si="12"/>
        <v>-408.46</v>
      </c>
    </row>
    <row r="782" spans="1:13" x14ac:dyDescent="0.25">
      <c r="A782" s="70">
        <v>1809</v>
      </c>
      <c r="B782" s="70" t="s">
        <v>229</v>
      </c>
      <c r="C782" s="70">
        <v>0</v>
      </c>
      <c r="D782" s="70" t="s">
        <v>1230</v>
      </c>
      <c r="E782" s="70">
        <v>0</v>
      </c>
      <c r="F782" s="70"/>
      <c r="G782" s="70">
        <v>-681.95</v>
      </c>
      <c r="H782" s="70">
        <v>-11.37</v>
      </c>
      <c r="I782" s="70">
        <v>-13.26</v>
      </c>
      <c r="J782" s="70">
        <v>0.3</v>
      </c>
      <c r="K782" s="70">
        <v>-14.05</v>
      </c>
      <c r="L782" s="70">
        <v>-5.91</v>
      </c>
      <c r="M782" s="68">
        <f t="shared" si="12"/>
        <v>681.95</v>
      </c>
    </row>
    <row r="783" spans="1:13" x14ac:dyDescent="0.25">
      <c r="A783" s="70">
        <v>2168</v>
      </c>
      <c r="B783" s="70" t="s">
        <v>229</v>
      </c>
      <c r="C783" s="70">
        <v>0</v>
      </c>
      <c r="D783" s="70" t="s">
        <v>1614</v>
      </c>
      <c r="E783" s="70">
        <v>0</v>
      </c>
      <c r="F783" s="70"/>
      <c r="G783" s="70">
        <v>167.21</v>
      </c>
      <c r="H783" s="70">
        <v>-7.66</v>
      </c>
      <c r="I783" s="70">
        <v>-13.27</v>
      </c>
      <c r="J783" s="70">
        <v>-0.59</v>
      </c>
      <c r="K783" s="70">
        <v>-3.49</v>
      </c>
      <c r="L783" s="70">
        <v>-3.79</v>
      </c>
      <c r="M783" s="68">
        <f t="shared" si="12"/>
        <v>-167.21</v>
      </c>
    </row>
    <row r="784" spans="1:13" x14ac:dyDescent="0.25">
      <c r="A784" s="70">
        <v>2421</v>
      </c>
      <c r="B784" s="70" t="s">
        <v>229</v>
      </c>
      <c r="C784" s="70">
        <v>0</v>
      </c>
      <c r="D784" s="70" t="s">
        <v>1860</v>
      </c>
      <c r="E784" s="70">
        <v>0</v>
      </c>
      <c r="F784" s="70"/>
      <c r="G784" s="70">
        <v>391.76</v>
      </c>
      <c r="H784" s="70">
        <v>-7.34</v>
      </c>
      <c r="I784" s="70">
        <v>-13.27</v>
      </c>
      <c r="J784" s="70">
        <v>-0.34</v>
      </c>
      <c r="K784" s="70">
        <v>4.71</v>
      </c>
      <c r="L784" s="70">
        <v>-3.22</v>
      </c>
      <c r="M784" s="68">
        <f t="shared" si="12"/>
        <v>-391.76</v>
      </c>
    </row>
    <row r="785" spans="1:13" x14ac:dyDescent="0.25">
      <c r="A785" s="70">
        <v>2030</v>
      </c>
      <c r="B785" s="70" t="s">
        <v>229</v>
      </c>
      <c r="C785" s="70">
        <v>0</v>
      </c>
      <c r="D785" s="70" t="s">
        <v>1470</v>
      </c>
      <c r="E785" s="70">
        <v>0</v>
      </c>
      <c r="F785" s="70"/>
      <c r="G785" s="70">
        <v>167.49</v>
      </c>
      <c r="H785" s="70">
        <v>-7.66</v>
      </c>
      <c r="I785" s="70">
        <v>-13.3</v>
      </c>
      <c r="J785" s="70">
        <v>-0.59</v>
      </c>
      <c r="K785" s="70">
        <v>-3.44</v>
      </c>
      <c r="L785" s="70">
        <v>-3.79</v>
      </c>
      <c r="M785" s="68">
        <f t="shared" si="12"/>
        <v>-167.49</v>
      </c>
    </row>
    <row r="786" spans="1:13" x14ac:dyDescent="0.25">
      <c r="A786" s="70">
        <v>2167</v>
      </c>
      <c r="B786" s="70" t="s">
        <v>229</v>
      </c>
      <c r="C786" s="70">
        <v>0</v>
      </c>
      <c r="D786" s="70" t="s">
        <v>1612</v>
      </c>
      <c r="E786" s="70">
        <v>0</v>
      </c>
      <c r="F786" s="70"/>
      <c r="G786" s="70">
        <v>-54.21</v>
      </c>
      <c r="H786" s="70">
        <v>-8.24</v>
      </c>
      <c r="I786" s="70">
        <v>-13.32</v>
      </c>
      <c r="J786" s="70">
        <v>-0.56999999999999995</v>
      </c>
      <c r="K786" s="70">
        <v>-9.31</v>
      </c>
      <c r="L786" s="70">
        <v>-3.94</v>
      </c>
      <c r="M786" s="68">
        <f t="shared" si="12"/>
        <v>54.21</v>
      </c>
    </row>
    <row r="787" spans="1:13" x14ac:dyDescent="0.25">
      <c r="A787" s="70">
        <v>2500</v>
      </c>
      <c r="B787" s="70" t="s">
        <v>229</v>
      </c>
      <c r="C787" s="70">
        <v>0</v>
      </c>
      <c r="D787" s="70" t="s">
        <v>1952</v>
      </c>
      <c r="E787" s="70">
        <v>0</v>
      </c>
      <c r="F787" s="70"/>
      <c r="G787" s="70">
        <v>-772.39</v>
      </c>
      <c r="H787" s="70">
        <v>10.6</v>
      </c>
      <c r="I787" s="70">
        <v>-13.32</v>
      </c>
      <c r="J787" s="70">
        <v>0.3</v>
      </c>
      <c r="K787" s="70">
        <v>-11.49</v>
      </c>
      <c r="L787" s="70">
        <v>5.35</v>
      </c>
      <c r="M787" s="68">
        <f t="shared" si="12"/>
        <v>772.39</v>
      </c>
    </row>
    <row r="788" spans="1:13" x14ac:dyDescent="0.25">
      <c r="A788" s="70">
        <v>68</v>
      </c>
      <c r="B788" s="70" t="s">
        <v>229</v>
      </c>
      <c r="C788" s="70">
        <v>0</v>
      </c>
      <c r="D788" s="70" t="s">
        <v>1162</v>
      </c>
      <c r="E788" s="70">
        <v>0</v>
      </c>
      <c r="F788" s="70"/>
      <c r="G788" s="70">
        <v>-430.95</v>
      </c>
      <c r="H788" s="70">
        <v>1.87</v>
      </c>
      <c r="I788" s="70">
        <v>-13.35</v>
      </c>
      <c r="J788" s="70">
        <v>0.09</v>
      </c>
      <c r="K788" s="70">
        <v>-4.43</v>
      </c>
      <c r="L788" s="70">
        <v>0.91</v>
      </c>
      <c r="M788" s="68">
        <f t="shared" si="12"/>
        <v>430.95</v>
      </c>
    </row>
    <row r="789" spans="1:13" x14ac:dyDescent="0.25">
      <c r="A789" s="70">
        <v>2029</v>
      </c>
      <c r="B789" s="70" t="s">
        <v>229</v>
      </c>
      <c r="C789" s="70">
        <v>0</v>
      </c>
      <c r="D789" s="70" t="s">
        <v>1468</v>
      </c>
      <c r="E789" s="70">
        <v>0</v>
      </c>
      <c r="F789" s="70"/>
      <c r="G789" s="70">
        <v>-54.64</v>
      </c>
      <c r="H789" s="70">
        <v>-8.24</v>
      </c>
      <c r="I789" s="70">
        <v>-13.35</v>
      </c>
      <c r="J789" s="70">
        <v>-0.56999999999999995</v>
      </c>
      <c r="K789" s="70">
        <v>-9.36</v>
      </c>
      <c r="L789" s="70">
        <v>-3.94</v>
      </c>
      <c r="M789" s="68">
        <f t="shared" si="12"/>
        <v>54.64</v>
      </c>
    </row>
    <row r="790" spans="1:13" x14ac:dyDescent="0.25">
      <c r="A790" s="70">
        <v>1959</v>
      </c>
      <c r="B790" s="70" t="s">
        <v>229</v>
      </c>
      <c r="C790" s="70">
        <v>0</v>
      </c>
      <c r="D790" s="70" t="s">
        <v>1394</v>
      </c>
      <c r="E790" s="70">
        <v>0</v>
      </c>
      <c r="F790" s="70"/>
      <c r="G790" s="70">
        <v>-251.85</v>
      </c>
      <c r="H790" s="70">
        <v>-8.91</v>
      </c>
      <c r="I790" s="70">
        <v>-13.4</v>
      </c>
      <c r="J790" s="70">
        <v>-0.52</v>
      </c>
      <c r="K790" s="70">
        <v>-14.39</v>
      </c>
      <c r="L790" s="70">
        <v>-4.16</v>
      </c>
      <c r="M790" s="68">
        <f t="shared" si="12"/>
        <v>251.85</v>
      </c>
    </row>
    <row r="791" spans="1:13" x14ac:dyDescent="0.25">
      <c r="A791" s="70">
        <v>1820</v>
      </c>
      <c r="B791" s="70" t="s">
        <v>229</v>
      </c>
      <c r="C791" s="70">
        <v>0</v>
      </c>
      <c r="D791" s="70" t="s">
        <v>1248</v>
      </c>
      <c r="E791" s="70">
        <v>0</v>
      </c>
      <c r="F791" s="70"/>
      <c r="G791" s="70">
        <v>-438.86</v>
      </c>
      <c r="H791" s="70">
        <v>-9.81</v>
      </c>
      <c r="I791" s="70">
        <v>-13.5</v>
      </c>
      <c r="J791" s="70">
        <v>-0.41</v>
      </c>
      <c r="K791" s="70">
        <v>-16.61</v>
      </c>
      <c r="L791" s="70">
        <v>-4.57</v>
      </c>
      <c r="M791" s="68">
        <f t="shared" si="12"/>
        <v>438.86</v>
      </c>
    </row>
    <row r="792" spans="1:13" x14ac:dyDescent="0.25">
      <c r="A792" s="70">
        <v>2235</v>
      </c>
      <c r="B792" s="70" t="s">
        <v>229</v>
      </c>
      <c r="C792" s="70">
        <v>0</v>
      </c>
      <c r="D792" s="70" t="s">
        <v>1682</v>
      </c>
      <c r="E792" s="70">
        <v>0</v>
      </c>
      <c r="F792" s="70"/>
      <c r="G792" s="70">
        <v>-250.31</v>
      </c>
      <c r="H792" s="70">
        <v>-8.93</v>
      </c>
      <c r="I792" s="70">
        <v>-13.5</v>
      </c>
      <c r="J792" s="70">
        <v>-0.52</v>
      </c>
      <c r="K792" s="70">
        <v>-14.31</v>
      </c>
      <c r="L792" s="70">
        <v>-4.16</v>
      </c>
      <c r="M792" s="68">
        <f t="shared" si="12"/>
        <v>250.31</v>
      </c>
    </row>
    <row r="793" spans="1:13" x14ac:dyDescent="0.25">
      <c r="A793" s="70">
        <v>1825</v>
      </c>
      <c r="B793" s="70" t="s">
        <v>229</v>
      </c>
      <c r="C793" s="70">
        <v>0</v>
      </c>
      <c r="D793" s="70" t="s">
        <v>1258</v>
      </c>
      <c r="E793" s="70">
        <v>0</v>
      </c>
      <c r="F793" s="70"/>
      <c r="G793" s="70">
        <v>402.74</v>
      </c>
      <c r="H793" s="70">
        <v>-7.39</v>
      </c>
      <c r="I793" s="70">
        <v>-13.51</v>
      </c>
      <c r="J793" s="70">
        <v>-0.49</v>
      </c>
      <c r="K793" s="70">
        <v>12.97</v>
      </c>
      <c r="L793" s="70">
        <v>-3.93</v>
      </c>
      <c r="M793" s="68">
        <f t="shared" si="12"/>
        <v>-402.74</v>
      </c>
    </row>
    <row r="794" spans="1:13" x14ac:dyDescent="0.25">
      <c r="A794" s="70">
        <v>2570</v>
      </c>
      <c r="B794" s="70" t="s">
        <v>229</v>
      </c>
      <c r="C794" s="70">
        <v>0</v>
      </c>
      <c r="D794" s="70" t="s">
        <v>2026</v>
      </c>
      <c r="E794" s="70">
        <v>0</v>
      </c>
      <c r="F794" s="70"/>
      <c r="G794" s="70">
        <v>-432.64</v>
      </c>
      <c r="H794" s="70">
        <v>1.88</v>
      </c>
      <c r="I794" s="70">
        <v>-13.52</v>
      </c>
      <c r="J794" s="70">
        <v>0.09</v>
      </c>
      <c r="K794" s="70">
        <v>-4.3600000000000003</v>
      </c>
      <c r="L794" s="70">
        <v>0.91</v>
      </c>
      <c r="M794" s="68">
        <f t="shared" si="12"/>
        <v>432.64</v>
      </c>
    </row>
    <row r="795" spans="1:13" x14ac:dyDescent="0.25">
      <c r="A795" s="70">
        <v>2372</v>
      </c>
      <c r="B795" s="70" t="s">
        <v>229</v>
      </c>
      <c r="C795" s="70">
        <v>0</v>
      </c>
      <c r="D795" s="70" t="s">
        <v>1824</v>
      </c>
      <c r="E795" s="70">
        <v>0</v>
      </c>
      <c r="F795" s="70"/>
      <c r="G795" s="70">
        <v>-436.94</v>
      </c>
      <c r="H795" s="70">
        <v>-9.86</v>
      </c>
      <c r="I795" s="70">
        <v>-13.54</v>
      </c>
      <c r="J795" s="70">
        <v>-0.41</v>
      </c>
      <c r="K795" s="70">
        <v>-16.53</v>
      </c>
      <c r="L795" s="70">
        <v>-4.59</v>
      </c>
      <c r="M795" s="68">
        <f t="shared" si="12"/>
        <v>436.94</v>
      </c>
    </row>
    <row r="796" spans="1:13" x14ac:dyDescent="0.25">
      <c r="A796" s="70">
        <v>2377</v>
      </c>
      <c r="B796" s="70" t="s">
        <v>229</v>
      </c>
      <c r="C796" s="70">
        <v>0</v>
      </c>
      <c r="D796" s="70" t="s">
        <v>1834</v>
      </c>
      <c r="E796" s="70">
        <v>0</v>
      </c>
      <c r="F796" s="70"/>
      <c r="G796" s="70">
        <v>401.78</v>
      </c>
      <c r="H796" s="70">
        <v>-7.36</v>
      </c>
      <c r="I796" s="70">
        <v>-13.81</v>
      </c>
      <c r="J796" s="70">
        <v>-0.49</v>
      </c>
      <c r="K796" s="70">
        <v>12.86</v>
      </c>
      <c r="L796" s="70">
        <v>-3.91</v>
      </c>
      <c r="M796" s="68">
        <f t="shared" si="12"/>
        <v>-401.78</v>
      </c>
    </row>
    <row r="797" spans="1:13" x14ac:dyDescent="0.25">
      <c r="A797" s="70">
        <v>1939</v>
      </c>
      <c r="B797" s="70" t="s">
        <v>229</v>
      </c>
      <c r="C797" s="70">
        <v>0</v>
      </c>
      <c r="D797" s="70" t="s">
        <v>1358</v>
      </c>
      <c r="E797" s="70">
        <v>0</v>
      </c>
      <c r="F797" s="70"/>
      <c r="G797" s="70">
        <v>417.64</v>
      </c>
      <c r="H797" s="70">
        <v>-7.34</v>
      </c>
      <c r="I797" s="70">
        <v>-13.82</v>
      </c>
      <c r="J797" s="70">
        <v>-0.42</v>
      </c>
      <c r="K797" s="70">
        <v>6.57</v>
      </c>
      <c r="L797" s="70">
        <v>-3.3</v>
      </c>
      <c r="M797" s="68">
        <f t="shared" si="12"/>
        <v>-417.64</v>
      </c>
    </row>
    <row r="798" spans="1:13" x14ac:dyDescent="0.25">
      <c r="A798" s="70">
        <v>1810</v>
      </c>
      <c r="B798" s="70" t="s">
        <v>229</v>
      </c>
      <c r="C798" s="70">
        <v>0</v>
      </c>
      <c r="D798" s="70" t="s">
        <v>1232</v>
      </c>
      <c r="E798" s="70">
        <v>0</v>
      </c>
      <c r="F798" s="70"/>
      <c r="G798" s="70">
        <v>-770.07</v>
      </c>
      <c r="H798" s="70">
        <v>-10.61</v>
      </c>
      <c r="I798" s="70">
        <v>-13.83</v>
      </c>
      <c r="J798" s="70">
        <v>0.3</v>
      </c>
      <c r="K798" s="70">
        <v>-11.69</v>
      </c>
      <c r="L798" s="70">
        <v>-5.36</v>
      </c>
      <c r="M798" s="68">
        <f t="shared" si="12"/>
        <v>770.07</v>
      </c>
    </row>
    <row r="799" spans="1:13" x14ac:dyDescent="0.25">
      <c r="A799" s="70">
        <v>1807</v>
      </c>
      <c r="B799" s="70" t="s">
        <v>229</v>
      </c>
      <c r="C799" s="70">
        <v>0</v>
      </c>
      <c r="D799" s="70" t="s">
        <v>1226</v>
      </c>
      <c r="E799" s="70">
        <v>0</v>
      </c>
      <c r="F799" s="70"/>
      <c r="G799" s="70">
        <v>-437.3</v>
      </c>
      <c r="H799" s="70">
        <v>-9.86</v>
      </c>
      <c r="I799" s="70">
        <v>-13.94</v>
      </c>
      <c r="J799" s="70">
        <v>-0.41</v>
      </c>
      <c r="K799" s="70">
        <v>-16.329999999999998</v>
      </c>
      <c r="L799" s="70">
        <v>-5.22</v>
      </c>
      <c r="M799" s="68">
        <f t="shared" si="12"/>
        <v>437.3</v>
      </c>
    </row>
    <row r="800" spans="1:13" x14ac:dyDescent="0.25">
      <c r="A800" s="70">
        <v>2353</v>
      </c>
      <c r="B800" s="70" t="s">
        <v>229</v>
      </c>
      <c r="C800" s="70">
        <v>0</v>
      </c>
      <c r="D800" s="70" t="s">
        <v>1790</v>
      </c>
      <c r="E800" s="70">
        <v>0</v>
      </c>
      <c r="F800" s="70"/>
      <c r="G800" s="70">
        <v>418.19</v>
      </c>
      <c r="H800" s="70">
        <v>-7.37</v>
      </c>
      <c r="I800" s="70">
        <v>-13.99</v>
      </c>
      <c r="J800" s="70">
        <v>-0.42</v>
      </c>
      <c r="K800" s="70">
        <v>6.5</v>
      </c>
      <c r="L800" s="70">
        <v>-3.31</v>
      </c>
      <c r="M800" s="68">
        <f t="shared" si="12"/>
        <v>-418.19</v>
      </c>
    </row>
    <row r="801" spans="1:13" x14ac:dyDescent="0.25">
      <c r="A801" s="70">
        <v>2497</v>
      </c>
      <c r="B801" s="70" t="s">
        <v>229</v>
      </c>
      <c r="C801" s="70">
        <v>0</v>
      </c>
      <c r="D801" s="70" t="s">
        <v>1946</v>
      </c>
      <c r="E801" s="70">
        <v>0</v>
      </c>
      <c r="F801" s="70"/>
      <c r="G801" s="70">
        <v>-438.73</v>
      </c>
      <c r="H801" s="70">
        <v>-9.8000000000000007</v>
      </c>
      <c r="I801" s="70">
        <v>-14.02</v>
      </c>
      <c r="J801" s="70">
        <v>-0.4</v>
      </c>
      <c r="K801" s="70">
        <v>-16.260000000000002</v>
      </c>
      <c r="L801" s="70">
        <v>-5.19</v>
      </c>
      <c r="M801" s="68">
        <f t="shared" si="12"/>
        <v>438.73</v>
      </c>
    </row>
    <row r="802" spans="1:13" x14ac:dyDescent="0.25">
      <c r="A802" s="70">
        <v>2450</v>
      </c>
      <c r="B802" s="70" t="s">
        <v>229</v>
      </c>
      <c r="C802" s="70">
        <v>0</v>
      </c>
      <c r="D802" s="70" t="s">
        <v>1914</v>
      </c>
      <c r="E802" s="70">
        <v>0</v>
      </c>
      <c r="F802" s="70"/>
      <c r="G802" s="70">
        <v>336.06</v>
      </c>
      <c r="H802" s="70">
        <v>-6.73</v>
      </c>
      <c r="I802" s="70">
        <v>-14.22</v>
      </c>
      <c r="J802" s="70">
        <v>0.23</v>
      </c>
      <c r="K802" s="70">
        <v>6.48</v>
      </c>
      <c r="L802" s="70">
        <v>3.8</v>
      </c>
      <c r="M802" s="68">
        <f t="shared" si="12"/>
        <v>-336.06</v>
      </c>
    </row>
    <row r="803" spans="1:13" x14ac:dyDescent="0.25">
      <c r="A803" s="70">
        <v>1760</v>
      </c>
      <c r="B803" s="70" t="s">
        <v>229</v>
      </c>
      <c r="C803" s="70">
        <v>0</v>
      </c>
      <c r="D803" s="70" t="s">
        <v>1194</v>
      </c>
      <c r="E803" s="70">
        <v>0</v>
      </c>
      <c r="F803" s="70"/>
      <c r="G803" s="70">
        <v>336.42</v>
      </c>
      <c r="H803" s="70">
        <v>-6.77</v>
      </c>
      <c r="I803" s="70">
        <v>-14.37</v>
      </c>
      <c r="J803" s="70">
        <v>0.23</v>
      </c>
      <c r="K803" s="70">
        <v>6.45</v>
      </c>
      <c r="L803" s="70">
        <v>-3.82</v>
      </c>
      <c r="M803" s="68">
        <f t="shared" si="12"/>
        <v>-336.42</v>
      </c>
    </row>
    <row r="804" spans="1:13" x14ac:dyDescent="0.25">
      <c r="A804" s="70">
        <v>8</v>
      </c>
      <c r="B804" s="70" t="s">
        <v>229</v>
      </c>
      <c r="C804" s="70">
        <v>0</v>
      </c>
      <c r="D804" s="70" t="s">
        <v>1108</v>
      </c>
      <c r="E804" s="70">
        <v>0</v>
      </c>
      <c r="F804" s="70"/>
      <c r="G804" s="70">
        <v>-34.659999999999997</v>
      </c>
      <c r="H804" s="70">
        <v>-1.97</v>
      </c>
      <c r="I804" s="70">
        <v>-14.39</v>
      </c>
      <c r="J804" s="70">
        <v>-0.2</v>
      </c>
      <c r="K804" s="70">
        <v>-8.14</v>
      </c>
      <c r="L804" s="70">
        <v>-0.96</v>
      </c>
      <c r="M804" s="68">
        <f t="shared" si="12"/>
        <v>34.659999999999997</v>
      </c>
    </row>
    <row r="805" spans="1:13" x14ac:dyDescent="0.25">
      <c r="A805" s="70">
        <v>9</v>
      </c>
      <c r="B805" s="70" t="s">
        <v>229</v>
      </c>
      <c r="C805" s="70">
        <v>0</v>
      </c>
      <c r="D805" s="70" t="s">
        <v>1110</v>
      </c>
      <c r="E805" s="70">
        <v>0</v>
      </c>
      <c r="F805" s="70"/>
      <c r="G805" s="70">
        <v>85.13</v>
      </c>
      <c r="H805" s="70">
        <v>-1.83</v>
      </c>
      <c r="I805" s="70">
        <v>-14.48</v>
      </c>
      <c r="J805" s="70">
        <v>-0.21</v>
      </c>
      <c r="K805" s="70">
        <v>-5.33</v>
      </c>
      <c r="L805" s="70">
        <v>-0.91</v>
      </c>
      <c r="M805" s="68">
        <f t="shared" si="12"/>
        <v>-85.13</v>
      </c>
    </row>
    <row r="806" spans="1:13" x14ac:dyDescent="0.25">
      <c r="A806" s="70">
        <v>2512</v>
      </c>
      <c r="B806" s="70" t="s">
        <v>229</v>
      </c>
      <c r="C806" s="70">
        <v>0</v>
      </c>
      <c r="D806" s="70" t="s">
        <v>1972</v>
      </c>
      <c r="E806" s="70">
        <v>0</v>
      </c>
      <c r="F806" s="70"/>
      <c r="G806" s="70">
        <v>-33.71</v>
      </c>
      <c r="H806" s="70">
        <v>-1.98</v>
      </c>
      <c r="I806" s="70">
        <v>-14.61</v>
      </c>
      <c r="J806" s="70">
        <v>-0.2</v>
      </c>
      <c r="K806" s="70">
        <v>-8.27</v>
      </c>
      <c r="L806" s="70">
        <v>-0.96</v>
      </c>
      <c r="M806" s="68">
        <f t="shared" si="12"/>
        <v>33.71</v>
      </c>
    </row>
    <row r="807" spans="1:13" x14ac:dyDescent="0.25">
      <c r="A807" s="70">
        <v>2513</v>
      </c>
      <c r="B807" s="70" t="s">
        <v>229</v>
      </c>
      <c r="C807" s="70">
        <v>0</v>
      </c>
      <c r="D807" s="70" t="s">
        <v>1974</v>
      </c>
      <c r="E807" s="70">
        <v>0</v>
      </c>
      <c r="F807" s="70"/>
      <c r="G807" s="70">
        <v>84.51</v>
      </c>
      <c r="H807" s="70">
        <v>-1.84</v>
      </c>
      <c r="I807" s="70">
        <v>-14.73</v>
      </c>
      <c r="J807" s="70">
        <v>-0.21</v>
      </c>
      <c r="K807" s="70">
        <v>-5.47</v>
      </c>
      <c r="L807" s="70">
        <v>-0.91</v>
      </c>
      <c r="M807" s="68">
        <f t="shared" si="12"/>
        <v>-84.51</v>
      </c>
    </row>
    <row r="808" spans="1:13" x14ac:dyDescent="0.25">
      <c r="A808" s="70">
        <v>1800</v>
      </c>
      <c r="B808" s="70" t="s">
        <v>229</v>
      </c>
      <c r="C808" s="70">
        <v>0</v>
      </c>
      <c r="D808" s="70" t="s">
        <v>1212</v>
      </c>
      <c r="E808" s="70">
        <v>0</v>
      </c>
      <c r="F808" s="70"/>
      <c r="G808" s="70">
        <v>392.95</v>
      </c>
      <c r="H808" s="70">
        <v>-7.29</v>
      </c>
      <c r="I808" s="70">
        <v>-15.1</v>
      </c>
      <c r="J808" s="70">
        <v>-0.33</v>
      </c>
      <c r="K808" s="70">
        <v>5.71</v>
      </c>
      <c r="L808" s="70">
        <v>-3.2</v>
      </c>
      <c r="M808" s="68">
        <f t="shared" si="12"/>
        <v>-392.95</v>
      </c>
    </row>
    <row r="809" spans="1:13" x14ac:dyDescent="0.25">
      <c r="A809" s="70">
        <v>2490</v>
      </c>
      <c r="B809" s="70" t="s">
        <v>229</v>
      </c>
      <c r="C809" s="70">
        <v>0</v>
      </c>
      <c r="D809" s="70" t="s">
        <v>1932</v>
      </c>
      <c r="E809" s="70">
        <v>0</v>
      </c>
      <c r="F809" s="70"/>
      <c r="G809" s="70">
        <v>393.54</v>
      </c>
      <c r="H809" s="70">
        <v>-7.34</v>
      </c>
      <c r="I809" s="70">
        <v>-15.26</v>
      </c>
      <c r="J809" s="70">
        <v>-0.34</v>
      </c>
      <c r="K809" s="70">
        <v>5.65</v>
      </c>
      <c r="L809" s="70">
        <v>-3.22</v>
      </c>
      <c r="M809" s="68">
        <f t="shared" si="12"/>
        <v>-393.54</v>
      </c>
    </row>
    <row r="810" spans="1:13" x14ac:dyDescent="0.25">
      <c r="A810" s="70">
        <v>1893</v>
      </c>
      <c r="B810" s="70" t="s">
        <v>229</v>
      </c>
      <c r="C810" s="70">
        <v>0</v>
      </c>
      <c r="D810" s="70" t="s">
        <v>1328</v>
      </c>
      <c r="E810" s="70">
        <v>0</v>
      </c>
      <c r="F810" s="70"/>
      <c r="G810" s="70">
        <v>324.17</v>
      </c>
      <c r="H810" s="70">
        <v>-7.38</v>
      </c>
      <c r="I810" s="70">
        <v>-15.34</v>
      </c>
      <c r="J810" s="70">
        <v>-0.55000000000000004</v>
      </c>
      <c r="K810" s="70">
        <v>9.67</v>
      </c>
      <c r="L810" s="70">
        <v>-3.81</v>
      </c>
      <c r="M810" s="68">
        <f t="shared" si="12"/>
        <v>-324.17</v>
      </c>
    </row>
    <row r="811" spans="1:13" x14ac:dyDescent="0.25">
      <c r="A811" s="70">
        <v>2307</v>
      </c>
      <c r="B811" s="70" t="s">
        <v>229</v>
      </c>
      <c r="C811" s="70">
        <v>0</v>
      </c>
      <c r="D811" s="70" t="s">
        <v>1760</v>
      </c>
      <c r="E811" s="70">
        <v>0</v>
      </c>
      <c r="F811" s="70"/>
      <c r="G811" s="70">
        <v>323.13</v>
      </c>
      <c r="H811" s="70">
        <v>-7.37</v>
      </c>
      <c r="I811" s="70">
        <v>-15.61</v>
      </c>
      <c r="J811" s="70">
        <v>-0.55000000000000004</v>
      </c>
      <c r="K811" s="70">
        <v>9.57</v>
      </c>
      <c r="L811" s="70">
        <v>-3.8</v>
      </c>
      <c r="M811" s="68">
        <f t="shared" si="12"/>
        <v>-323.13</v>
      </c>
    </row>
    <row r="812" spans="1:13" x14ac:dyDescent="0.25">
      <c r="A812" s="70">
        <v>1823</v>
      </c>
      <c r="B812" s="70" t="s">
        <v>229</v>
      </c>
      <c r="C812" s="70">
        <v>0</v>
      </c>
      <c r="D812" s="70" t="s">
        <v>1255</v>
      </c>
      <c r="E812" s="70">
        <v>4</v>
      </c>
      <c r="F812" s="70"/>
      <c r="G812" s="70">
        <v>169.84</v>
      </c>
      <c r="H812" s="70">
        <v>-7.65</v>
      </c>
      <c r="I812" s="70">
        <v>-15.79</v>
      </c>
      <c r="J812" s="70">
        <v>-0.59</v>
      </c>
      <c r="K812" s="70">
        <v>11.77</v>
      </c>
      <c r="L812" s="70">
        <v>3.82</v>
      </c>
      <c r="M812" s="68">
        <f t="shared" si="12"/>
        <v>-169.84</v>
      </c>
    </row>
    <row r="813" spans="1:13" x14ac:dyDescent="0.25">
      <c r="A813" s="70">
        <v>1752</v>
      </c>
      <c r="B813" s="70" t="s">
        <v>229</v>
      </c>
      <c r="C813" s="70">
        <v>0</v>
      </c>
      <c r="D813" s="70" t="s">
        <v>1179</v>
      </c>
      <c r="E813" s="70">
        <v>4</v>
      </c>
      <c r="F813" s="70"/>
      <c r="G813" s="70">
        <v>-264.81</v>
      </c>
      <c r="H813" s="70">
        <v>-8.9</v>
      </c>
      <c r="I813" s="70">
        <v>-15.88</v>
      </c>
      <c r="J813" s="70">
        <v>-0.52</v>
      </c>
      <c r="K813" s="70">
        <v>-14</v>
      </c>
      <c r="L813" s="70">
        <v>4.6900000000000004</v>
      </c>
      <c r="M813" s="68">
        <f t="shared" si="12"/>
        <v>264.81</v>
      </c>
    </row>
    <row r="814" spans="1:13" x14ac:dyDescent="0.25">
      <c r="A814" s="70">
        <v>1872</v>
      </c>
      <c r="B814" s="70" t="s">
        <v>229</v>
      </c>
      <c r="C814" s="70">
        <v>0</v>
      </c>
      <c r="D814" s="70" t="s">
        <v>1290</v>
      </c>
      <c r="E814" s="70">
        <v>0</v>
      </c>
      <c r="F814" s="70"/>
      <c r="G814" s="70">
        <v>329.32</v>
      </c>
      <c r="H814" s="70">
        <v>-7.37</v>
      </c>
      <c r="I814" s="70">
        <v>-15.88</v>
      </c>
      <c r="J814" s="70">
        <v>-0.56000000000000005</v>
      </c>
      <c r="K814" s="70">
        <v>12.66</v>
      </c>
      <c r="L814" s="70">
        <v>-3.55</v>
      </c>
      <c r="M814" s="68">
        <f t="shared" si="12"/>
        <v>-329.32</v>
      </c>
    </row>
    <row r="815" spans="1:13" x14ac:dyDescent="0.25">
      <c r="A815" s="70">
        <v>1871</v>
      </c>
      <c r="B815" s="70" t="s">
        <v>229</v>
      </c>
      <c r="C815" s="70">
        <v>0</v>
      </c>
      <c r="D815" s="70" t="s">
        <v>1288</v>
      </c>
      <c r="E815" s="70">
        <v>0</v>
      </c>
      <c r="F815" s="70"/>
      <c r="G815" s="70">
        <v>408.9</v>
      </c>
      <c r="H815" s="70">
        <v>-7.34</v>
      </c>
      <c r="I815" s="70">
        <v>-15.89</v>
      </c>
      <c r="J815" s="70">
        <v>-0.5</v>
      </c>
      <c r="K815" s="70">
        <v>11.28</v>
      </c>
      <c r="L815" s="70">
        <v>-3.39</v>
      </c>
      <c r="M815" s="68">
        <f t="shared" si="12"/>
        <v>-408.9</v>
      </c>
    </row>
    <row r="816" spans="1:13" x14ac:dyDescent="0.25">
      <c r="A816" s="70">
        <v>1751</v>
      </c>
      <c r="B816" s="70" t="s">
        <v>229</v>
      </c>
      <c r="C816" s="70">
        <v>0</v>
      </c>
      <c r="D816" s="70" t="s">
        <v>1176</v>
      </c>
      <c r="E816" s="70">
        <v>0</v>
      </c>
      <c r="F816" s="70"/>
      <c r="G816" s="70">
        <v>-445.43</v>
      </c>
      <c r="H816" s="70">
        <v>-9.81</v>
      </c>
      <c r="I816" s="70">
        <v>-15.92</v>
      </c>
      <c r="J816" s="70">
        <v>-0.41</v>
      </c>
      <c r="K816" s="70">
        <v>-17.71</v>
      </c>
      <c r="L816" s="70">
        <v>-4.57</v>
      </c>
      <c r="M816" s="68">
        <f t="shared" si="12"/>
        <v>445.43</v>
      </c>
    </row>
    <row r="817" spans="1:13" x14ac:dyDescent="0.25">
      <c r="A817" s="70">
        <v>2441</v>
      </c>
      <c r="B817" s="70" t="s">
        <v>229</v>
      </c>
      <c r="C817" s="70">
        <v>0</v>
      </c>
      <c r="D817" s="70" t="s">
        <v>1896</v>
      </c>
      <c r="E817" s="70">
        <v>0</v>
      </c>
      <c r="F817" s="70"/>
      <c r="G817" s="70">
        <v>-443.52</v>
      </c>
      <c r="H817" s="70">
        <v>-9.86</v>
      </c>
      <c r="I817" s="70">
        <v>-15.97</v>
      </c>
      <c r="J817" s="70">
        <v>-0.41</v>
      </c>
      <c r="K817" s="70">
        <v>-17.63</v>
      </c>
      <c r="L817" s="70">
        <v>-4.59</v>
      </c>
      <c r="M817" s="68">
        <f t="shared" si="12"/>
        <v>443.52</v>
      </c>
    </row>
    <row r="818" spans="1:13" x14ac:dyDescent="0.25">
      <c r="A818" s="70">
        <v>1822</v>
      </c>
      <c r="B818" s="70" t="s">
        <v>229</v>
      </c>
      <c r="C818" s="70">
        <v>0</v>
      </c>
      <c r="D818" s="70" t="s">
        <v>1253</v>
      </c>
      <c r="E818" s="70">
        <v>4</v>
      </c>
      <c r="F818" s="70"/>
      <c r="G818" s="70">
        <v>-60.94</v>
      </c>
      <c r="H818" s="70">
        <v>-8.23</v>
      </c>
      <c r="I818" s="70">
        <v>-16</v>
      </c>
      <c r="J818" s="70">
        <v>-0.56999999999999995</v>
      </c>
      <c r="K818" s="70">
        <v>-7.89</v>
      </c>
      <c r="L818" s="70">
        <v>4.2300000000000004</v>
      </c>
      <c r="M818" s="68">
        <f t="shared" si="12"/>
        <v>60.94</v>
      </c>
    </row>
    <row r="819" spans="1:13" x14ac:dyDescent="0.25">
      <c r="A819" s="70">
        <v>2442</v>
      </c>
      <c r="B819" s="70" t="s">
        <v>229</v>
      </c>
      <c r="C819" s="70">
        <v>0</v>
      </c>
      <c r="D819" s="70" t="s">
        <v>1899</v>
      </c>
      <c r="E819" s="70">
        <v>4</v>
      </c>
      <c r="F819" s="70"/>
      <c r="G819" s="70">
        <v>-263.22000000000003</v>
      </c>
      <c r="H819" s="70">
        <v>-8.94</v>
      </c>
      <c r="I819" s="70">
        <v>-16.13</v>
      </c>
      <c r="J819" s="70">
        <v>-0.52</v>
      </c>
      <c r="K819" s="70">
        <v>-13.83</v>
      </c>
      <c r="L819" s="70">
        <v>4.72</v>
      </c>
      <c r="M819" s="68">
        <f t="shared" si="12"/>
        <v>263.22000000000003</v>
      </c>
    </row>
    <row r="820" spans="1:13" x14ac:dyDescent="0.25">
      <c r="A820" s="70">
        <v>2375</v>
      </c>
      <c r="B820" s="70" t="s">
        <v>229</v>
      </c>
      <c r="C820" s="70">
        <v>0</v>
      </c>
      <c r="D820" s="70" t="s">
        <v>1831</v>
      </c>
      <c r="E820" s="70">
        <v>4</v>
      </c>
      <c r="F820" s="70"/>
      <c r="G820" s="70">
        <v>168.96</v>
      </c>
      <c r="H820" s="70">
        <v>-7.67</v>
      </c>
      <c r="I820" s="70">
        <v>-16.14</v>
      </c>
      <c r="J820" s="70">
        <v>-0.59</v>
      </c>
      <c r="K820" s="70">
        <v>11.91</v>
      </c>
      <c r="L820" s="70">
        <v>3.83</v>
      </c>
      <c r="M820" s="68">
        <f t="shared" si="12"/>
        <v>-168.96</v>
      </c>
    </row>
    <row r="821" spans="1:13" x14ac:dyDescent="0.25">
      <c r="A821" s="70">
        <v>2423</v>
      </c>
      <c r="B821" s="70" t="s">
        <v>229</v>
      </c>
      <c r="C821" s="70">
        <v>0</v>
      </c>
      <c r="D821" s="70" t="s">
        <v>1864</v>
      </c>
      <c r="E821" s="70">
        <v>0</v>
      </c>
      <c r="F821" s="70"/>
      <c r="G821" s="70">
        <v>409.79</v>
      </c>
      <c r="H821" s="70">
        <v>-7.37</v>
      </c>
      <c r="I821" s="70">
        <v>-16.2</v>
      </c>
      <c r="J821" s="70">
        <v>-0.5</v>
      </c>
      <c r="K821" s="70">
        <v>11.17</v>
      </c>
      <c r="L821" s="70">
        <v>-3.4</v>
      </c>
      <c r="M821" s="68">
        <f t="shared" si="12"/>
        <v>-409.79</v>
      </c>
    </row>
    <row r="822" spans="1:13" x14ac:dyDescent="0.25">
      <c r="A822" s="70">
        <v>2424</v>
      </c>
      <c r="B822" s="70" t="s">
        <v>229</v>
      </c>
      <c r="C822" s="70">
        <v>0</v>
      </c>
      <c r="D822" s="70" t="s">
        <v>1866</v>
      </c>
      <c r="E822" s="70">
        <v>0</v>
      </c>
      <c r="F822" s="70"/>
      <c r="G822" s="70">
        <v>330.43</v>
      </c>
      <c r="H822" s="70">
        <v>-7.37</v>
      </c>
      <c r="I822" s="70">
        <v>-16.23</v>
      </c>
      <c r="J822" s="70">
        <v>-0.56000000000000005</v>
      </c>
      <c r="K822" s="70">
        <v>12.51</v>
      </c>
      <c r="L822" s="70">
        <v>-3.55</v>
      </c>
      <c r="M822" s="68">
        <f t="shared" si="12"/>
        <v>-330.43</v>
      </c>
    </row>
    <row r="823" spans="1:13" x14ac:dyDescent="0.25">
      <c r="A823" s="70">
        <v>1870</v>
      </c>
      <c r="B823" s="70" t="s">
        <v>229</v>
      </c>
      <c r="C823" s="70">
        <v>0</v>
      </c>
      <c r="D823" s="70" t="s">
        <v>1286</v>
      </c>
      <c r="E823" s="70">
        <v>0</v>
      </c>
      <c r="F823" s="70"/>
      <c r="G823" s="70">
        <v>419.12</v>
      </c>
      <c r="H823" s="70">
        <v>-7.33</v>
      </c>
      <c r="I823" s="70">
        <v>-16.239999999999998</v>
      </c>
      <c r="J823" s="70">
        <v>-0.42</v>
      </c>
      <c r="K823" s="70">
        <v>7.77</v>
      </c>
      <c r="L823" s="70">
        <v>-3.29</v>
      </c>
      <c r="M823" s="68">
        <f t="shared" si="12"/>
        <v>-419.12</v>
      </c>
    </row>
    <row r="824" spans="1:13" x14ac:dyDescent="0.25">
      <c r="A824" s="70">
        <v>2374</v>
      </c>
      <c r="B824" s="70" t="s">
        <v>229</v>
      </c>
      <c r="C824" s="70">
        <v>0</v>
      </c>
      <c r="D824" s="70" t="s">
        <v>1829</v>
      </c>
      <c r="E824" s="70">
        <v>4</v>
      </c>
      <c r="F824" s="70"/>
      <c r="G824" s="70">
        <v>-59.83</v>
      </c>
      <c r="H824" s="70">
        <v>-8.25</v>
      </c>
      <c r="I824" s="70">
        <v>-16.3</v>
      </c>
      <c r="J824" s="70">
        <v>-0.56999999999999995</v>
      </c>
      <c r="K824" s="70">
        <v>-7.72</v>
      </c>
      <c r="L824" s="70">
        <v>4.25</v>
      </c>
      <c r="M824" s="68">
        <f t="shared" si="12"/>
        <v>59.83</v>
      </c>
    </row>
    <row r="825" spans="1:13" x14ac:dyDescent="0.25">
      <c r="A825" s="70">
        <v>1961</v>
      </c>
      <c r="B825" s="70" t="s">
        <v>229</v>
      </c>
      <c r="C825" s="70">
        <v>0</v>
      </c>
      <c r="D825" s="70" t="s">
        <v>1398</v>
      </c>
      <c r="E825" s="70">
        <v>0</v>
      </c>
      <c r="F825" s="70"/>
      <c r="G825" s="70">
        <v>168.09</v>
      </c>
      <c r="H825" s="70">
        <v>-7.66</v>
      </c>
      <c r="I825" s="70">
        <v>-16.34</v>
      </c>
      <c r="J825" s="70">
        <v>-0.59</v>
      </c>
      <c r="K825" s="70">
        <v>-4.78</v>
      </c>
      <c r="L825" s="70">
        <v>-3.79</v>
      </c>
      <c r="M825" s="68">
        <f t="shared" si="12"/>
        <v>-168.09</v>
      </c>
    </row>
    <row r="826" spans="1:13" x14ac:dyDescent="0.25">
      <c r="A826" s="70">
        <v>1756</v>
      </c>
      <c r="B826" s="70" t="s">
        <v>229</v>
      </c>
      <c r="C826" s="70">
        <v>0</v>
      </c>
      <c r="D826" s="70" t="s">
        <v>1186</v>
      </c>
      <c r="E826" s="70">
        <v>0</v>
      </c>
      <c r="F826" s="70"/>
      <c r="G826" s="70">
        <v>404.07</v>
      </c>
      <c r="H826" s="70">
        <v>-7.39</v>
      </c>
      <c r="I826" s="70">
        <v>-16.350000000000001</v>
      </c>
      <c r="J826" s="70">
        <v>-0.49</v>
      </c>
      <c r="K826" s="70">
        <v>14.31</v>
      </c>
      <c r="L826" s="70">
        <v>-3.93</v>
      </c>
      <c r="M826" s="68">
        <f t="shared" si="12"/>
        <v>-404.07</v>
      </c>
    </row>
    <row r="827" spans="1:13" x14ac:dyDescent="0.25">
      <c r="A827" s="70">
        <v>1960</v>
      </c>
      <c r="B827" s="70" t="s">
        <v>229</v>
      </c>
      <c r="C827" s="70">
        <v>0</v>
      </c>
      <c r="D827" s="70" t="s">
        <v>1396</v>
      </c>
      <c r="E827" s="70">
        <v>0</v>
      </c>
      <c r="F827" s="70"/>
      <c r="G827" s="70">
        <v>-57.32</v>
      </c>
      <c r="H827" s="70">
        <v>-8.23</v>
      </c>
      <c r="I827" s="70">
        <v>-16.350000000000001</v>
      </c>
      <c r="J827" s="70">
        <v>-0.56999999999999995</v>
      </c>
      <c r="K827" s="70">
        <v>-10.7</v>
      </c>
      <c r="L827" s="70">
        <v>-3.93</v>
      </c>
      <c r="M827" s="68">
        <f t="shared" si="12"/>
        <v>57.32</v>
      </c>
    </row>
    <row r="828" spans="1:13" x14ac:dyDescent="0.25">
      <c r="A828" s="70">
        <v>1890</v>
      </c>
      <c r="B828" s="70" t="s">
        <v>229</v>
      </c>
      <c r="C828" s="70">
        <v>0</v>
      </c>
      <c r="D828" s="70" t="s">
        <v>1322</v>
      </c>
      <c r="E828" s="70">
        <v>0</v>
      </c>
      <c r="F828" s="70"/>
      <c r="G828" s="70">
        <v>-257.13</v>
      </c>
      <c r="H828" s="70">
        <v>-8.9</v>
      </c>
      <c r="I828" s="70">
        <v>-16.43</v>
      </c>
      <c r="J828" s="70">
        <v>-0.52</v>
      </c>
      <c r="K828" s="70">
        <v>-15.71</v>
      </c>
      <c r="L828" s="70">
        <v>-4.1500000000000004</v>
      </c>
      <c r="M828" s="68">
        <f t="shared" si="12"/>
        <v>257.13</v>
      </c>
    </row>
    <row r="829" spans="1:13" x14ac:dyDescent="0.25">
      <c r="A829" s="70">
        <v>2422</v>
      </c>
      <c r="B829" s="70" t="s">
        <v>229</v>
      </c>
      <c r="C829" s="70">
        <v>0</v>
      </c>
      <c r="D829" s="70" t="s">
        <v>1862</v>
      </c>
      <c r="E829" s="70">
        <v>0</v>
      </c>
      <c r="F829" s="70"/>
      <c r="G829" s="70">
        <v>419.79</v>
      </c>
      <c r="H829" s="70">
        <v>-7.38</v>
      </c>
      <c r="I829" s="70">
        <v>-16.47</v>
      </c>
      <c r="J829" s="70">
        <v>-0.42</v>
      </c>
      <c r="K829" s="70">
        <v>7.68</v>
      </c>
      <c r="L829" s="70">
        <v>-3.31</v>
      </c>
      <c r="M829" s="68">
        <f t="shared" si="12"/>
        <v>-419.79</v>
      </c>
    </row>
    <row r="830" spans="1:13" x14ac:dyDescent="0.25">
      <c r="A830" s="70">
        <v>2236</v>
      </c>
      <c r="B830" s="70" t="s">
        <v>229</v>
      </c>
      <c r="C830" s="70">
        <v>0</v>
      </c>
      <c r="D830" s="70" t="s">
        <v>1684</v>
      </c>
      <c r="E830" s="70">
        <v>0</v>
      </c>
      <c r="F830" s="70"/>
      <c r="G830" s="70">
        <v>-56.63</v>
      </c>
      <c r="H830" s="70">
        <v>-8.25</v>
      </c>
      <c r="I830" s="70">
        <v>-16.510000000000002</v>
      </c>
      <c r="J830" s="70">
        <v>-0.56999999999999995</v>
      </c>
      <c r="K830" s="70">
        <v>-10.68</v>
      </c>
      <c r="L830" s="70">
        <v>-3.94</v>
      </c>
      <c r="M830" s="68">
        <f t="shared" si="12"/>
        <v>56.63</v>
      </c>
    </row>
    <row r="831" spans="1:13" x14ac:dyDescent="0.25">
      <c r="A831" s="70">
        <v>2237</v>
      </c>
      <c r="B831" s="70" t="s">
        <v>229</v>
      </c>
      <c r="C831" s="70">
        <v>0</v>
      </c>
      <c r="D831" s="70" t="s">
        <v>1686</v>
      </c>
      <c r="E831" s="70">
        <v>0</v>
      </c>
      <c r="F831" s="70"/>
      <c r="G831" s="70">
        <v>167.6</v>
      </c>
      <c r="H831" s="70">
        <v>-7.67</v>
      </c>
      <c r="I831" s="70">
        <v>-16.52</v>
      </c>
      <c r="J831" s="70">
        <v>-0.59</v>
      </c>
      <c r="K831" s="70">
        <v>-4.9000000000000004</v>
      </c>
      <c r="L831" s="70">
        <v>-3.79</v>
      </c>
      <c r="M831" s="68">
        <f t="shared" si="12"/>
        <v>-167.6</v>
      </c>
    </row>
    <row r="832" spans="1:13" x14ac:dyDescent="0.25">
      <c r="A832" s="70">
        <v>2304</v>
      </c>
      <c r="B832" s="70" t="s">
        <v>229</v>
      </c>
      <c r="C832" s="70">
        <v>0</v>
      </c>
      <c r="D832" s="70" t="s">
        <v>1754</v>
      </c>
      <c r="E832" s="70">
        <v>0</v>
      </c>
      <c r="F832" s="70"/>
      <c r="G832" s="70">
        <v>-255.57</v>
      </c>
      <c r="H832" s="70">
        <v>-8.94</v>
      </c>
      <c r="I832" s="70">
        <v>-16.579999999999998</v>
      </c>
      <c r="J832" s="70">
        <v>-0.52</v>
      </c>
      <c r="K832" s="70">
        <v>-15.64</v>
      </c>
      <c r="L832" s="70">
        <v>-4.17</v>
      </c>
      <c r="M832" s="68">
        <f t="shared" si="12"/>
        <v>255.57</v>
      </c>
    </row>
    <row r="833" spans="1:13" x14ac:dyDescent="0.25">
      <c r="A833" s="70">
        <v>2446</v>
      </c>
      <c r="B833" s="70" t="s">
        <v>229</v>
      </c>
      <c r="C833" s="70">
        <v>0</v>
      </c>
      <c r="D833" s="70" t="s">
        <v>1906</v>
      </c>
      <c r="E833" s="70">
        <v>0</v>
      </c>
      <c r="F833" s="70"/>
      <c r="G833" s="70">
        <v>402.99</v>
      </c>
      <c r="H833" s="70">
        <v>-7.35</v>
      </c>
      <c r="I833" s="70">
        <v>-16.72</v>
      </c>
      <c r="J833" s="70">
        <v>-0.49</v>
      </c>
      <c r="K833" s="70">
        <v>14.16</v>
      </c>
      <c r="L833" s="70">
        <v>-3.91</v>
      </c>
      <c r="M833" s="68">
        <f t="shared" si="12"/>
        <v>-402.99</v>
      </c>
    </row>
    <row r="834" spans="1:13" x14ac:dyDescent="0.25">
      <c r="A834" s="70">
        <v>1824</v>
      </c>
      <c r="B834" s="70" t="s">
        <v>229</v>
      </c>
      <c r="C834" s="70">
        <v>0</v>
      </c>
      <c r="D834" s="70" t="s">
        <v>1256</v>
      </c>
      <c r="E834" s="70">
        <v>0</v>
      </c>
      <c r="F834" s="70"/>
      <c r="G834" s="70">
        <v>325.14999999999998</v>
      </c>
      <c r="H834" s="70">
        <v>-7.38</v>
      </c>
      <c r="I834" s="70">
        <v>-18.510000000000002</v>
      </c>
      <c r="J834" s="70">
        <v>-0.55000000000000004</v>
      </c>
      <c r="K834" s="70">
        <v>11.19</v>
      </c>
      <c r="L834" s="70">
        <v>-3.81</v>
      </c>
      <c r="M834" s="68">
        <f t="shared" ref="M834:M897" si="13">G834*-1</f>
        <v>-325.14999999999998</v>
      </c>
    </row>
    <row r="835" spans="1:13" x14ac:dyDescent="0.25">
      <c r="A835" s="70">
        <v>1801</v>
      </c>
      <c r="B835" s="70" t="s">
        <v>229</v>
      </c>
      <c r="C835" s="70">
        <v>0</v>
      </c>
      <c r="D835" s="70" t="s">
        <v>1214</v>
      </c>
      <c r="E835" s="70">
        <v>0</v>
      </c>
      <c r="F835" s="70"/>
      <c r="G835" s="70">
        <v>420.59</v>
      </c>
      <c r="H835" s="70">
        <v>-7.33</v>
      </c>
      <c r="I835" s="70">
        <v>-18.66</v>
      </c>
      <c r="J835" s="70">
        <v>-0.42</v>
      </c>
      <c r="K835" s="70">
        <v>8.98</v>
      </c>
      <c r="L835" s="70">
        <v>-3.29</v>
      </c>
      <c r="M835" s="68">
        <f t="shared" si="13"/>
        <v>-420.59</v>
      </c>
    </row>
    <row r="836" spans="1:13" x14ac:dyDescent="0.25">
      <c r="A836" s="70">
        <v>1802</v>
      </c>
      <c r="B836" s="70" t="s">
        <v>229</v>
      </c>
      <c r="C836" s="70">
        <v>0</v>
      </c>
      <c r="D836" s="70" t="s">
        <v>1216</v>
      </c>
      <c r="E836" s="70">
        <v>0</v>
      </c>
      <c r="F836" s="70"/>
      <c r="G836" s="70">
        <v>410.11</v>
      </c>
      <c r="H836" s="70">
        <v>-7.34</v>
      </c>
      <c r="I836" s="70">
        <v>-18.79</v>
      </c>
      <c r="J836" s="70">
        <v>-0.5</v>
      </c>
      <c r="K836" s="70">
        <v>12.57</v>
      </c>
      <c r="L836" s="70">
        <v>-3.39</v>
      </c>
      <c r="M836" s="68">
        <f t="shared" si="13"/>
        <v>-410.11</v>
      </c>
    </row>
    <row r="837" spans="1:13" x14ac:dyDescent="0.25">
      <c r="A837" s="70">
        <v>2376</v>
      </c>
      <c r="B837" s="70" t="s">
        <v>229</v>
      </c>
      <c r="C837" s="70">
        <v>0</v>
      </c>
      <c r="D837" s="70" t="s">
        <v>1832</v>
      </c>
      <c r="E837" s="70">
        <v>0</v>
      </c>
      <c r="F837" s="70"/>
      <c r="G837" s="70">
        <v>323.99</v>
      </c>
      <c r="H837" s="70">
        <v>-7.37</v>
      </c>
      <c r="I837" s="70">
        <v>-18.87</v>
      </c>
      <c r="J837" s="70">
        <v>-0.55000000000000004</v>
      </c>
      <c r="K837" s="70">
        <v>11.04</v>
      </c>
      <c r="L837" s="70">
        <v>-3.8</v>
      </c>
      <c r="M837" s="68">
        <f t="shared" si="13"/>
        <v>-323.99</v>
      </c>
    </row>
    <row r="838" spans="1:13" x14ac:dyDescent="0.25">
      <c r="A838" s="70">
        <v>2491</v>
      </c>
      <c r="B838" s="70" t="s">
        <v>229</v>
      </c>
      <c r="C838" s="70">
        <v>0</v>
      </c>
      <c r="D838" s="70" t="s">
        <v>1934</v>
      </c>
      <c r="E838" s="70">
        <v>0</v>
      </c>
      <c r="F838" s="70"/>
      <c r="G838" s="70">
        <v>421.38</v>
      </c>
      <c r="H838" s="70">
        <v>-7.38</v>
      </c>
      <c r="I838" s="70">
        <v>-18.95</v>
      </c>
      <c r="J838" s="70">
        <v>-0.42</v>
      </c>
      <c r="K838" s="70">
        <v>8.86</v>
      </c>
      <c r="L838" s="70">
        <v>-3.31</v>
      </c>
      <c r="M838" s="68">
        <f t="shared" si="13"/>
        <v>-421.38</v>
      </c>
    </row>
    <row r="839" spans="1:13" x14ac:dyDescent="0.25">
      <c r="A839" s="70">
        <v>1803</v>
      </c>
      <c r="B839" s="70" t="s">
        <v>229</v>
      </c>
      <c r="C839" s="70">
        <v>0</v>
      </c>
      <c r="D839" s="70" t="s">
        <v>1218</v>
      </c>
      <c r="E839" s="70">
        <v>0</v>
      </c>
      <c r="F839" s="70"/>
      <c r="G839" s="70">
        <v>330.17</v>
      </c>
      <c r="H839" s="70">
        <v>-7.37</v>
      </c>
      <c r="I839" s="70">
        <v>-19.079999999999998</v>
      </c>
      <c r="J839" s="70">
        <v>-0.56000000000000005</v>
      </c>
      <c r="K839" s="70">
        <v>14.3</v>
      </c>
      <c r="L839" s="70">
        <v>-3.55</v>
      </c>
      <c r="M839" s="68">
        <f t="shared" si="13"/>
        <v>-330.17</v>
      </c>
    </row>
    <row r="840" spans="1:13" x14ac:dyDescent="0.25">
      <c r="A840" s="70">
        <v>2492</v>
      </c>
      <c r="B840" s="70" t="s">
        <v>229</v>
      </c>
      <c r="C840" s="70">
        <v>0</v>
      </c>
      <c r="D840" s="70" t="s">
        <v>1936</v>
      </c>
      <c r="E840" s="70">
        <v>0</v>
      </c>
      <c r="F840" s="70"/>
      <c r="G840" s="70">
        <v>411.12</v>
      </c>
      <c r="H840" s="70">
        <v>-7.37</v>
      </c>
      <c r="I840" s="70">
        <v>-19.170000000000002</v>
      </c>
      <c r="J840" s="70">
        <v>-0.5</v>
      </c>
      <c r="K840" s="70">
        <v>12.42</v>
      </c>
      <c r="L840" s="70">
        <v>-3.4</v>
      </c>
      <c r="M840" s="68">
        <f t="shared" si="13"/>
        <v>-411.12</v>
      </c>
    </row>
    <row r="841" spans="1:13" x14ac:dyDescent="0.25">
      <c r="A841" s="70">
        <v>1754</v>
      </c>
      <c r="B841" s="70" t="s">
        <v>229</v>
      </c>
      <c r="C841" s="70">
        <v>0</v>
      </c>
      <c r="D841" s="70" t="s">
        <v>1183</v>
      </c>
      <c r="E841" s="70">
        <v>4</v>
      </c>
      <c r="F841" s="70"/>
      <c r="G841" s="70">
        <v>170.41</v>
      </c>
      <c r="H841" s="70">
        <v>-7.65</v>
      </c>
      <c r="I841" s="70">
        <v>-19.22</v>
      </c>
      <c r="J841" s="70">
        <v>-0.59</v>
      </c>
      <c r="K841" s="70">
        <v>13.47</v>
      </c>
      <c r="L841" s="70">
        <v>3.82</v>
      </c>
      <c r="M841" s="68">
        <f t="shared" si="13"/>
        <v>-170.41</v>
      </c>
    </row>
    <row r="842" spans="1:13" x14ac:dyDescent="0.25">
      <c r="A842" s="70">
        <v>1753</v>
      </c>
      <c r="B842" s="70" t="s">
        <v>229</v>
      </c>
      <c r="C842" s="70">
        <v>0</v>
      </c>
      <c r="D842" s="70" t="s">
        <v>1181</v>
      </c>
      <c r="E842" s="70">
        <v>4</v>
      </c>
      <c r="F842" s="70"/>
      <c r="G842" s="70">
        <v>-64.64</v>
      </c>
      <c r="H842" s="70">
        <v>-8.2200000000000006</v>
      </c>
      <c r="I842" s="70">
        <v>-19.32</v>
      </c>
      <c r="J842" s="70">
        <v>-0.56999999999999995</v>
      </c>
      <c r="K842" s="70">
        <v>-9.42</v>
      </c>
      <c r="L842" s="70">
        <v>4.2300000000000004</v>
      </c>
      <c r="M842" s="68">
        <f t="shared" si="13"/>
        <v>64.64</v>
      </c>
    </row>
    <row r="843" spans="1:13" x14ac:dyDescent="0.25">
      <c r="A843" s="70">
        <v>1821</v>
      </c>
      <c r="B843" s="70" t="s">
        <v>229</v>
      </c>
      <c r="C843" s="70">
        <v>0</v>
      </c>
      <c r="D843" s="70" t="s">
        <v>1250</v>
      </c>
      <c r="E843" s="70">
        <v>0</v>
      </c>
      <c r="F843" s="70"/>
      <c r="G843" s="70">
        <v>-262.41000000000003</v>
      </c>
      <c r="H843" s="70">
        <v>-8.9</v>
      </c>
      <c r="I843" s="70">
        <v>-19.46</v>
      </c>
      <c r="J843" s="70">
        <v>-0.52</v>
      </c>
      <c r="K843" s="70">
        <v>-17.03</v>
      </c>
      <c r="L843" s="70">
        <v>-4.1500000000000004</v>
      </c>
      <c r="M843" s="68">
        <f t="shared" si="13"/>
        <v>262.41000000000003</v>
      </c>
    </row>
    <row r="844" spans="1:13" x14ac:dyDescent="0.25">
      <c r="A844" s="70">
        <v>2493</v>
      </c>
      <c r="B844" s="70" t="s">
        <v>229</v>
      </c>
      <c r="C844" s="70">
        <v>0</v>
      </c>
      <c r="D844" s="70" t="s">
        <v>1938</v>
      </c>
      <c r="E844" s="70">
        <v>0</v>
      </c>
      <c r="F844" s="70"/>
      <c r="G844" s="70">
        <v>331.4</v>
      </c>
      <c r="H844" s="70">
        <v>-7.37</v>
      </c>
      <c r="I844" s="70">
        <v>-19.510000000000002</v>
      </c>
      <c r="J844" s="70">
        <v>-0.56000000000000005</v>
      </c>
      <c r="K844" s="70">
        <v>14.11</v>
      </c>
      <c r="L844" s="70">
        <v>-3.55</v>
      </c>
      <c r="M844" s="68">
        <f t="shared" si="13"/>
        <v>-331.4</v>
      </c>
    </row>
    <row r="845" spans="1:13" x14ac:dyDescent="0.25">
      <c r="A845" s="70">
        <v>1892</v>
      </c>
      <c r="B845" s="70" t="s">
        <v>229</v>
      </c>
      <c r="C845" s="70">
        <v>0</v>
      </c>
      <c r="D845" s="70" t="s">
        <v>1326</v>
      </c>
      <c r="E845" s="70">
        <v>0</v>
      </c>
      <c r="F845" s="70"/>
      <c r="G845" s="70">
        <v>168.67</v>
      </c>
      <c r="H845" s="70">
        <v>-7.66</v>
      </c>
      <c r="I845" s="70">
        <v>-19.579999999999998</v>
      </c>
      <c r="J845" s="70">
        <v>-0.59</v>
      </c>
      <c r="K845" s="70">
        <v>-6.25</v>
      </c>
      <c r="L845" s="70">
        <v>-3.79</v>
      </c>
      <c r="M845" s="68">
        <f t="shared" si="13"/>
        <v>-168.67</v>
      </c>
    </row>
    <row r="846" spans="1:13" x14ac:dyDescent="0.25">
      <c r="A846" s="70">
        <v>2444</v>
      </c>
      <c r="B846" s="70" t="s">
        <v>229</v>
      </c>
      <c r="C846" s="70">
        <v>0</v>
      </c>
      <c r="D846" s="70" t="s">
        <v>1903</v>
      </c>
      <c r="E846" s="70">
        <v>4</v>
      </c>
      <c r="F846" s="70"/>
      <c r="G846" s="70">
        <v>169.34</v>
      </c>
      <c r="H846" s="70">
        <v>-7.67</v>
      </c>
      <c r="I846" s="70">
        <v>-19.64</v>
      </c>
      <c r="J846" s="70">
        <v>-0.59</v>
      </c>
      <c r="K846" s="70">
        <v>13.65</v>
      </c>
      <c r="L846" s="70">
        <v>3.83</v>
      </c>
      <c r="M846" s="68">
        <f t="shared" si="13"/>
        <v>-169.34</v>
      </c>
    </row>
    <row r="847" spans="1:13" x14ac:dyDescent="0.25">
      <c r="A847" s="70">
        <v>2373</v>
      </c>
      <c r="B847" s="70" t="s">
        <v>229</v>
      </c>
      <c r="C847" s="70">
        <v>0</v>
      </c>
      <c r="D847" s="70" t="s">
        <v>1826</v>
      </c>
      <c r="E847" s="70">
        <v>0</v>
      </c>
      <c r="F847" s="70"/>
      <c r="G847" s="70">
        <v>-260.83999999999997</v>
      </c>
      <c r="H847" s="70">
        <v>-8.94</v>
      </c>
      <c r="I847" s="70">
        <v>-19.66</v>
      </c>
      <c r="J847" s="70">
        <v>-0.52</v>
      </c>
      <c r="K847" s="70">
        <v>-16.97</v>
      </c>
      <c r="L847" s="70">
        <v>-4.17</v>
      </c>
      <c r="M847" s="68">
        <f t="shared" si="13"/>
        <v>260.83999999999997</v>
      </c>
    </row>
    <row r="848" spans="1:13" x14ac:dyDescent="0.25">
      <c r="A848" s="70">
        <v>1891</v>
      </c>
      <c r="B848" s="70" t="s">
        <v>229</v>
      </c>
      <c r="C848" s="70">
        <v>0</v>
      </c>
      <c r="D848" s="70" t="s">
        <v>1324</v>
      </c>
      <c r="E848" s="70">
        <v>0</v>
      </c>
      <c r="F848" s="70"/>
      <c r="G848" s="70">
        <v>-60.01</v>
      </c>
      <c r="H848" s="70">
        <v>-8.23</v>
      </c>
      <c r="I848" s="70">
        <v>-19.670000000000002</v>
      </c>
      <c r="J848" s="70">
        <v>-0.56999999999999995</v>
      </c>
      <c r="K848" s="70">
        <v>-12.06</v>
      </c>
      <c r="L848" s="70">
        <v>-3.93</v>
      </c>
      <c r="M848" s="68">
        <f t="shared" si="13"/>
        <v>60.01</v>
      </c>
    </row>
    <row r="849" spans="1:13" x14ac:dyDescent="0.25">
      <c r="A849" s="70">
        <v>2443</v>
      </c>
      <c r="B849" s="70" t="s">
        <v>229</v>
      </c>
      <c r="C849" s="70">
        <v>0</v>
      </c>
      <c r="D849" s="70" t="s">
        <v>1901</v>
      </c>
      <c r="E849" s="70">
        <v>4</v>
      </c>
      <c r="F849" s="70"/>
      <c r="G849" s="70">
        <v>-62.85</v>
      </c>
      <c r="H849" s="70">
        <v>-8.25</v>
      </c>
      <c r="I849" s="70">
        <v>-19.690000000000001</v>
      </c>
      <c r="J849" s="70">
        <v>-0.56999999999999995</v>
      </c>
      <c r="K849" s="70">
        <v>-9.2100000000000009</v>
      </c>
      <c r="L849" s="70">
        <v>4.25</v>
      </c>
      <c r="M849" s="68">
        <f t="shared" si="13"/>
        <v>62.85</v>
      </c>
    </row>
    <row r="850" spans="1:13" x14ac:dyDescent="0.25">
      <c r="A850" s="70">
        <v>2306</v>
      </c>
      <c r="B850" s="70" t="s">
        <v>229</v>
      </c>
      <c r="C850" s="70">
        <v>0</v>
      </c>
      <c r="D850" s="70" t="s">
        <v>1758</v>
      </c>
      <c r="E850" s="70">
        <v>0</v>
      </c>
      <c r="F850" s="70"/>
      <c r="G850" s="70">
        <v>167.99</v>
      </c>
      <c r="H850" s="70">
        <v>-7.67</v>
      </c>
      <c r="I850" s="70">
        <v>-19.84</v>
      </c>
      <c r="J850" s="70">
        <v>-0.59</v>
      </c>
      <c r="K850" s="70">
        <v>-6.41</v>
      </c>
      <c r="L850" s="70">
        <v>-3.79</v>
      </c>
      <c r="M850" s="68">
        <f t="shared" si="13"/>
        <v>-167.99</v>
      </c>
    </row>
    <row r="851" spans="1:13" x14ac:dyDescent="0.25">
      <c r="A851" s="70">
        <v>2305</v>
      </c>
      <c r="B851" s="70" t="s">
        <v>229</v>
      </c>
      <c r="C851" s="70">
        <v>0</v>
      </c>
      <c r="D851" s="70" t="s">
        <v>1756</v>
      </c>
      <c r="E851" s="70">
        <v>0</v>
      </c>
      <c r="F851" s="70"/>
      <c r="G851" s="70">
        <v>-59.11</v>
      </c>
      <c r="H851" s="70">
        <v>-8.25</v>
      </c>
      <c r="I851" s="70">
        <v>-19.899999999999999</v>
      </c>
      <c r="J851" s="70">
        <v>-0.56999999999999995</v>
      </c>
      <c r="K851" s="70">
        <v>-12.04</v>
      </c>
      <c r="L851" s="70">
        <v>-3.94</v>
      </c>
      <c r="M851" s="68">
        <f t="shared" si="13"/>
        <v>59.11</v>
      </c>
    </row>
    <row r="852" spans="1:13" x14ac:dyDescent="0.25">
      <c r="A852" s="70">
        <v>2156</v>
      </c>
      <c r="B852" s="70" t="s">
        <v>229</v>
      </c>
      <c r="C852" s="70">
        <v>0</v>
      </c>
      <c r="D852" s="70" t="s">
        <v>1595</v>
      </c>
      <c r="E852" s="70">
        <v>4</v>
      </c>
      <c r="F852" s="70"/>
      <c r="G852" s="70">
        <v>-817.52</v>
      </c>
      <c r="H852" s="70">
        <v>7.81</v>
      </c>
      <c r="I852" s="70">
        <v>-20.86</v>
      </c>
      <c r="J852" s="70">
        <v>0.27</v>
      </c>
      <c r="K852" s="70">
        <v>20.97</v>
      </c>
      <c r="L852" s="70">
        <v>-4.3600000000000003</v>
      </c>
      <c r="M852" s="68">
        <f t="shared" si="13"/>
        <v>817.52</v>
      </c>
    </row>
    <row r="853" spans="1:13" x14ac:dyDescent="0.25">
      <c r="A853" s="70">
        <v>2571</v>
      </c>
      <c r="B853" s="70" t="s">
        <v>229</v>
      </c>
      <c r="C853" s="70">
        <v>0</v>
      </c>
      <c r="D853" s="70" t="s">
        <v>2029</v>
      </c>
      <c r="E853" s="70">
        <v>4</v>
      </c>
      <c r="F853" s="70"/>
      <c r="G853" s="70">
        <v>-499.65</v>
      </c>
      <c r="H853" s="70">
        <v>0.55000000000000004</v>
      </c>
      <c r="I853" s="70">
        <v>-20.97</v>
      </c>
      <c r="J853" s="70">
        <v>0.1</v>
      </c>
      <c r="K853" s="70">
        <v>24.1</v>
      </c>
      <c r="L853" s="70">
        <v>-0.38</v>
      </c>
      <c r="M853" s="68">
        <f t="shared" si="13"/>
        <v>499.65</v>
      </c>
    </row>
    <row r="854" spans="1:13" x14ac:dyDescent="0.25">
      <c r="A854" s="70">
        <v>69</v>
      </c>
      <c r="B854" s="70" t="s">
        <v>229</v>
      </c>
      <c r="C854" s="70">
        <v>0</v>
      </c>
      <c r="D854" s="70" t="s">
        <v>1165</v>
      </c>
      <c r="E854" s="70">
        <v>4</v>
      </c>
      <c r="F854" s="70"/>
      <c r="G854" s="70">
        <v>-497.77</v>
      </c>
      <c r="H854" s="70">
        <v>0.55000000000000004</v>
      </c>
      <c r="I854" s="70">
        <v>-21.07</v>
      </c>
      <c r="J854" s="70">
        <v>0.1</v>
      </c>
      <c r="K854" s="70">
        <v>24.15</v>
      </c>
      <c r="L854" s="70">
        <v>-0.38</v>
      </c>
      <c r="M854" s="68">
        <f t="shared" si="13"/>
        <v>497.77</v>
      </c>
    </row>
    <row r="855" spans="1:13" x14ac:dyDescent="0.25">
      <c r="A855" s="70">
        <v>2087</v>
      </c>
      <c r="B855" s="70" t="s">
        <v>229</v>
      </c>
      <c r="C855" s="70">
        <v>0</v>
      </c>
      <c r="D855" s="70" t="s">
        <v>1523</v>
      </c>
      <c r="E855" s="70">
        <v>4</v>
      </c>
      <c r="F855" s="70"/>
      <c r="G855" s="70">
        <v>-826.06</v>
      </c>
      <c r="H855" s="70">
        <v>7.81</v>
      </c>
      <c r="I855" s="70">
        <v>-21.32</v>
      </c>
      <c r="J855" s="70">
        <v>0.27</v>
      </c>
      <c r="K855" s="70">
        <v>21.13</v>
      </c>
      <c r="L855" s="70">
        <v>-4.3600000000000003</v>
      </c>
      <c r="M855" s="68">
        <f t="shared" si="13"/>
        <v>826.06</v>
      </c>
    </row>
    <row r="856" spans="1:13" x14ac:dyDescent="0.25">
      <c r="A856" s="70">
        <v>2225</v>
      </c>
      <c r="B856" s="70" t="s">
        <v>229</v>
      </c>
      <c r="C856" s="70">
        <v>0</v>
      </c>
      <c r="D856" s="70" t="s">
        <v>1667</v>
      </c>
      <c r="E856" s="70">
        <v>4</v>
      </c>
      <c r="F856" s="70"/>
      <c r="G856" s="70">
        <v>-826.92</v>
      </c>
      <c r="H856" s="70">
        <v>7.81</v>
      </c>
      <c r="I856" s="70">
        <v>-21.48</v>
      </c>
      <c r="J856" s="70">
        <v>0.27</v>
      </c>
      <c r="K856" s="70">
        <v>21.27</v>
      </c>
      <c r="L856" s="70">
        <v>-4.37</v>
      </c>
      <c r="M856" s="68">
        <f t="shared" si="13"/>
        <v>826.92</v>
      </c>
    </row>
    <row r="857" spans="1:13" x14ac:dyDescent="0.25">
      <c r="A857" s="70">
        <v>2571</v>
      </c>
      <c r="B857" s="70" t="s">
        <v>229</v>
      </c>
      <c r="C857" s="70">
        <v>0</v>
      </c>
      <c r="D857" s="70" t="s">
        <v>2028</v>
      </c>
      <c r="E857" s="70">
        <v>0</v>
      </c>
      <c r="F857" s="70"/>
      <c r="G857" s="70">
        <v>-496.1</v>
      </c>
      <c r="H857" s="70">
        <v>0.55000000000000004</v>
      </c>
      <c r="I857" s="70">
        <v>-21.58</v>
      </c>
      <c r="J857" s="70">
        <v>0.1</v>
      </c>
      <c r="K857" s="70">
        <v>10.68</v>
      </c>
      <c r="L857" s="70">
        <v>0.25</v>
      </c>
      <c r="M857" s="68">
        <f t="shared" si="13"/>
        <v>496.1</v>
      </c>
    </row>
    <row r="858" spans="1:13" x14ac:dyDescent="0.25">
      <c r="A858" s="70">
        <v>69</v>
      </c>
      <c r="B858" s="70" t="s">
        <v>229</v>
      </c>
      <c r="C858" s="70">
        <v>0</v>
      </c>
      <c r="D858" s="70" t="s">
        <v>1164</v>
      </c>
      <c r="E858" s="70">
        <v>0</v>
      </c>
      <c r="F858" s="70"/>
      <c r="G858" s="70">
        <v>-494.22</v>
      </c>
      <c r="H858" s="70">
        <v>0.55000000000000004</v>
      </c>
      <c r="I858" s="70">
        <v>-21.68</v>
      </c>
      <c r="J858" s="70">
        <v>0.1</v>
      </c>
      <c r="K858" s="70">
        <v>10.88</v>
      </c>
      <c r="L858" s="70">
        <v>0.25</v>
      </c>
      <c r="M858" s="68">
        <f t="shared" si="13"/>
        <v>494.22</v>
      </c>
    </row>
    <row r="859" spans="1:13" x14ac:dyDescent="0.25">
      <c r="A859" s="70">
        <v>1755</v>
      </c>
      <c r="B859" s="70" t="s">
        <v>229</v>
      </c>
      <c r="C859" s="70">
        <v>0</v>
      </c>
      <c r="D859" s="70" t="s">
        <v>1184</v>
      </c>
      <c r="E859" s="70">
        <v>0</v>
      </c>
      <c r="F859" s="70"/>
      <c r="G859" s="70">
        <v>326.13</v>
      </c>
      <c r="H859" s="70">
        <v>-7.38</v>
      </c>
      <c r="I859" s="70">
        <v>-21.69</v>
      </c>
      <c r="J859" s="70">
        <v>-0.55000000000000004</v>
      </c>
      <c r="K859" s="70">
        <v>12.81</v>
      </c>
      <c r="L859" s="70">
        <v>-3.81</v>
      </c>
      <c r="M859" s="68">
        <f t="shared" si="13"/>
        <v>-326.13</v>
      </c>
    </row>
    <row r="860" spans="1:13" x14ac:dyDescent="0.25">
      <c r="A860" s="70">
        <v>2018</v>
      </c>
      <c r="B860" s="70" t="s">
        <v>229</v>
      </c>
      <c r="C860" s="70">
        <v>0</v>
      </c>
      <c r="D860" s="70" t="s">
        <v>1451</v>
      </c>
      <c r="E860" s="70">
        <v>4</v>
      </c>
      <c r="F860" s="70"/>
      <c r="G860" s="70">
        <v>-834.97</v>
      </c>
      <c r="H860" s="70">
        <v>7.8</v>
      </c>
      <c r="I860" s="70">
        <v>-21.89</v>
      </c>
      <c r="J860" s="70">
        <v>0.27</v>
      </c>
      <c r="K860" s="70">
        <v>21.36</v>
      </c>
      <c r="L860" s="70">
        <v>-4.3600000000000003</v>
      </c>
      <c r="M860" s="68">
        <f t="shared" si="13"/>
        <v>834.97</v>
      </c>
    </row>
    <row r="861" spans="1:13" x14ac:dyDescent="0.25">
      <c r="A861" s="70">
        <v>2294</v>
      </c>
      <c r="B861" s="70" t="s">
        <v>229</v>
      </c>
      <c r="C861" s="70">
        <v>0</v>
      </c>
      <c r="D861" s="70" t="s">
        <v>1739</v>
      </c>
      <c r="E861" s="70">
        <v>4</v>
      </c>
      <c r="F861" s="70"/>
      <c r="G861" s="70">
        <v>-836.38</v>
      </c>
      <c r="H861" s="70">
        <v>7.82</v>
      </c>
      <c r="I861" s="70">
        <v>-22.1</v>
      </c>
      <c r="J861" s="70">
        <v>0.27</v>
      </c>
      <c r="K861" s="70">
        <v>21.58</v>
      </c>
      <c r="L861" s="70">
        <v>-4.37</v>
      </c>
      <c r="M861" s="68">
        <f t="shared" si="13"/>
        <v>836.38</v>
      </c>
    </row>
    <row r="862" spans="1:13" x14ac:dyDescent="0.25">
      <c r="A862" s="70">
        <v>2445</v>
      </c>
      <c r="B862" s="70" t="s">
        <v>229</v>
      </c>
      <c r="C862" s="70">
        <v>0</v>
      </c>
      <c r="D862" s="70" t="s">
        <v>1904</v>
      </c>
      <c r="E862" s="70">
        <v>0</v>
      </c>
      <c r="F862" s="70"/>
      <c r="G862" s="70">
        <v>324.85000000000002</v>
      </c>
      <c r="H862" s="70">
        <v>-7.37</v>
      </c>
      <c r="I862" s="70">
        <v>-22.14</v>
      </c>
      <c r="J862" s="70">
        <v>-0.55000000000000004</v>
      </c>
      <c r="K862" s="70">
        <v>12.62</v>
      </c>
      <c r="L862" s="70">
        <v>-3.8</v>
      </c>
      <c r="M862" s="68">
        <f t="shared" si="13"/>
        <v>-324.85000000000002</v>
      </c>
    </row>
    <row r="863" spans="1:13" x14ac:dyDescent="0.25">
      <c r="A863" s="70">
        <v>1949</v>
      </c>
      <c r="B863" s="70" t="s">
        <v>229</v>
      </c>
      <c r="C863" s="70">
        <v>0</v>
      </c>
      <c r="D863" s="70" t="s">
        <v>1379</v>
      </c>
      <c r="E863" s="70">
        <v>4</v>
      </c>
      <c r="F863" s="70"/>
      <c r="G863" s="70">
        <v>-843.88</v>
      </c>
      <c r="H863" s="70">
        <v>7.8</v>
      </c>
      <c r="I863" s="70">
        <v>-22.46</v>
      </c>
      <c r="J863" s="70">
        <v>0.27</v>
      </c>
      <c r="K863" s="70">
        <v>21.61</v>
      </c>
      <c r="L863" s="70">
        <v>-4.3600000000000003</v>
      </c>
      <c r="M863" s="68">
        <f t="shared" si="13"/>
        <v>843.88</v>
      </c>
    </row>
    <row r="864" spans="1:13" x14ac:dyDescent="0.25">
      <c r="A864" s="70">
        <v>1752</v>
      </c>
      <c r="B864" s="70" t="s">
        <v>229</v>
      </c>
      <c r="C864" s="70">
        <v>0</v>
      </c>
      <c r="D864" s="70" t="s">
        <v>1178</v>
      </c>
      <c r="E864" s="70">
        <v>0</v>
      </c>
      <c r="F864" s="70"/>
      <c r="G864" s="70">
        <v>-267.7</v>
      </c>
      <c r="H864" s="70">
        <v>-8.9</v>
      </c>
      <c r="I864" s="70">
        <v>-22.49</v>
      </c>
      <c r="J864" s="70">
        <v>-0.52</v>
      </c>
      <c r="K864" s="70">
        <v>-18.350000000000001</v>
      </c>
      <c r="L864" s="70">
        <v>-4.1500000000000004</v>
      </c>
      <c r="M864" s="68">
        <f t="shared" si="13"/>
        <v>267.7</v>
      </c>
    </row>
    <row r="865" spans="1:13" x14ac:dyDescent="0.25">
      <c r="A865" s="70">
        <v>2363</v>
      </c>
      <c r="B865" s="70" t="s">
        <v>229</v>
      </c>
      <c r="C865" s="70">
        <v>0</v>
      </c>
      <c r="D865" s="70" t="s">
        <v>1811</v>
      </c>
      <c r="E865" s="70">
        <v>4</v>
      </c>
      <c r="F865" s="70"/>
      <c r="G865" s="70">
        <v>-845.9</v>
      </c>
      <c r="H865" s="70">
        <v>7.82</v>
      </c>
      <c r="I865" s="70">
        <v>-22.71</v>
      </c>
      <c r="J865" s="70">
        <v>0.27</v>
      </c>
      <c r="K865" s="70">
        <v>21.88</v>
      </c>
      <c r="L865" s="70">
        <v>-4.37</v>
      </c>
      <c r="M865" s="68">
        <f t="shared" si="13"/>
        <v>845.9</v>
      </c>
    </row>
    <row r="866" spans="1:13" x14ac:dyDescent="0.25">
      <c r="A866" s="70">
        <v>2442</v>
      </c>
      <c r="B866" s="70" t="s">
        <v>229</v>
      </c>
      <c r="C866" s="70">
        <v>0</v>
      </c>
      <c r="D866" s="70" t="s">
        <v>1898</v>
      </c>
      <c r="E866" s="70">
        <v>0</v>
      </c>
      <c r="F866" s="70"/>
      <c r="G866" s="70">
        <v>-266.11</v>
      </c>
      <c r="H866" s="70">
        <v>-8.94</v>
      </c>
      <c r="I866" s="70">
        <v>-22.73</v>
      </c>
      <c r="J866" s="70">
        <v>-0.52</v>
      </c>
      <c r="K866" s="70">
        <v>-18.3</v>
      </c>
      <c r="L866" s="70">
        <v>-4.17</v>
      </c>
      <c r="M866" s="68">
        <f t="shared" si="13"/>
        <v>266.11</v>
      </c>
    </row>
    <row r="867" spans="1:13" x14ac:dyDescent="0.25">
      <c r="A867" s="70">
        <v>1823</v>
      </c>
      <c r="B867" s="70" t="s">
        <v>229</v>
      </c>
      <c r="C867" s="70">
        <v>0</v>
      </c>
      <c r="D867" s="70" t="s">
        <v>1254</v>
      </c>
      <c r="E867" s="70">
        <v>0</v>
      </c>
      <c r="F867" s="70"/>
      <c r="G867" s="70">
        <v>169.25</v>
      </c>
      <c r="H867" s="70">
        <v>-7.65</v>
      </c>
      <c r="I867" s="70">
        <v>-22.97</v>
      </c>
      <c r="J867" s="70">
        <v>-0.59</v>
      </c>
      <c r="K867" s="70">
        <v>-7.86</v>
      </c>
      <c r="L867" s="70">
        <v>-3.78</v>
      </c>
      <c r="M867" s="68">
        <f t="shared" si="13"/>
        <v>-169.25</v>
      </c>
    </row>
    <row r="868" spans="1:13" x14ac:dyDescent="0.25">
      <c r="A868" s="70">
        <v>1822</v>
      </c>
      <c r="B868" s="70" t="s">
        <v>229</v>
      </c>
      <c r="C868" s="70">
        <v>0</v>
      </c>
      <c r="D868" s="70" t="s">
        <v>1252</v>
      </c>
      <c r="E868" s="70">
        <v>0</v>
      </c>
      <c r="F868" s="70"/>
      <c r="G868" s="70">
        <v>-62.7</v>
      </c>
      <c r="H868" s="70">
        <v>-8.23</v>
      </c>
      <c r="I868" s="70">
        <v>-22.98</v>
      </c>
      <c r="J868" s="70">
        <v>-0.56999999999999995</v>
      </c>
      <c r="K868" s="70">
        <v>-13.41</v>
      </c>
      <c r="L868" s="70">
        <v>-3.93</v>
      </c>
      <c r="M868" s="68">
        <f t="shared" si="13"/>
        <v>62.7</v>
      </c>
    </row>
    <row r="869" spans="1:13" x14ac:dyDescent="0.25">
      <c r="A869" s="70">
        <v>1880</v>
      </c>
      <c r="B869" s="70" t="s">
        <v>229</v>
      </c>
      <c r="C869" s="70">
        <v>0</v>
      </c>
      <c r="D869" s="70" t="s">
        <v>1307</v>
      </c>
      <c r="E869" s="70">
        <v>4</v>
      </c>
      <c r="F869" s="70"/>
      <c r="G869" s="70">
        <v>-852.84</v>
      </c>
      <c r="H869" s="70">
        <v>7.8</v>
      </c>
      <c r="I869" s="70">
        <v>-23.02</v>
      </c>
      <c r="J869" s="70">
        <v>0.27</v>
      </c>
      <c r="K869" s="70">
        <v>21.89</v>
      </c>
      <c r="L869" s="70">
        <v>4.3600000000000003</v>
      </c>
      <c r="M869" s="68">
        <f t="shared" si="13"/>
        <v>852.84</v>
      </c>
    </row>
    <row r="870" spans="1:13" x14ac:dyDescent="0.25">
      <c r="A870" s="70">
        <v>2156</v>
      </c>
      <c r="B870" s="70" t="s">
        <v>229</v>
      </c>
      <c r="C870" s="70">
        <v>0</v>
      </c>
      <c r="D870" s="70" t="s">
        <v>1594</v>
      </c>
      <c r="E870" s="70">
        <v>0</v>
      </c>
      <c r="F870" s="70"/>
      <c r="G870" s="70">
        <v>-810.71</v>
      </c>
      <c r="H870" s="70">
        <v>7.81</v>
      </c>
      <c r="I870" s="70">
        <v>-23.23</v>
      </c>
      <c r="J870" s="70">
        <v>0.27</v>
      </c>
      <c r="K870" s="70">
        <v>-5.65</v>
      </c>
      <c r="L870" s="70">
        <v>3.77</v>
      </c>
      <c r="M870" s="68">
        <f t="shared" si="13"/>
        <v>810.71</v>
      </c>
    </row>
    <row r="871" spans="1:13" x14ac:dyDescent="0.25">
      <c r="A871" s="70">
        <v>2374</v>
      </c>
      <c r="B871" s="70" t="s">
        <v>229</v>
      </c>
      <c r="C871" s="70">
        <v>0</v>
      </c>
      <c r="D871" s="70" t="s">
        <v>1828</v>
      </c>
      <c r="E871" s="70">
        <v>0</v>
      </c>
      <c r="F871" s="70"/>
      <c r="G871" s="70">
        <v>-61.59</v>
      </c>
      <c r="H871" s="70">
        <v>-8.25</v>
      </c>
      <c r="I871" s="70">
        <v>-23.29</v>
      </c>
      <c r="J871" s="70">
        <v>-0.56999999999999995</v>
      </c>
      <c r="K871" s="70">
        <v>-13.61</v>
      </c>
      <c r="L871" s="70">
        <v>-3.94</v>
      </c>
      <c r="M871" s="68">
        <f t="shared" si="13"/>
        <v>61.59</v>
      </c>
    </row>
    <row r="872" spans="1:13" x14ac:dyDescent="0.25">
      <c r="A872" s="70">
        <v>2375</v>
      </c>
      <c r="B872" s="70" t="s">
        <v>229</v>
      </c>
      <c r="C872" s="70">
        <v>0</v>
      </c>
      <c r="D872" s="70" t="s">
        <v>1830</v>
      </c>
      <c r="E872" s="70">
        <v>0</v>
      </c>
      <c r="F872" s="70"/>
      <c r="G872" s="70">
        <v>168.37</v>
      </c>
      <c r="H872" s="70">
        <v>-7.67</v>
      </c>
      <c r="I872" s="70">
        <v>-23.32</v>
      </c>
      <c r="J872" s="70">
        <v>-0.59</v>
      </c>
      <c r="K872" s="70">
        <v>-8.06</v>
      </c>
      <c r="L872" s="70">
        <v>-3.79</v>
      </c>
      <c r="M872" s="68">
        <f t="shared" si="13"/>
        <v>-168.37</v>
      </c>
    </row>
    <row r="873" spans="1:13" x14ac:dyDescent="0.25">
      <c r="A873" s="70">
        <v>2432</v>
      </c>
      <c r="B873" s="70" t="s">
        <v>229</v>
      </c>
      <c r="C873" s="70">
        <v>0</v>
      </c>
      <c r="D873" s="70" t="s">
        <v>1883</v>
      </c>
      <c r="E873" s="70">
        <v>4</v>
      </c>
      <c r="F873" s="70"/>
      <c r="G873" s="70">
        <v>-855.42</v>
      </c>
      <c r="H873" s="70">
        <v>7.82</v>
      </c>
      <c r="I873" s="70">
        <v>-23.33</v>
      </c>
      <c r="J873" s="70">
        <v>0.27</v>
      </c>
      <c r="K873" s="70">
        <v>22.19</v>
      </c>
      <c r="L873" s="70">
        <v>-4.37</v>
      </c>
      <c r="M873" s="68">
        <f t="shared" si="13"/>
        <v>855.42</v>
      </c>
    </row>
    <row r="874" spans="1:13" x14ac:dyDescent="0.25">
      <c r="A874" s="70">
        <v>1811</v>
      </c>
      <c r="B874" s="70" t="s">
        <v>229</v>
      </c>
      <c r="C874" s="70">
        <v>0</v>
      </c>
      <c r="D874" s="70" t="s">
        <v>1235</v>
      </c>
      <c r="E874" s="70">
        <v>4</v>
      </c>
      <c r="F874" s="70"/>
      <c r="G874" s="70">
        <v>-861.91</v>
      </c>
      <c r="H874" s="70">
        <v>7.79</v>
      </c>
      <c r="I874" s="70">
        <v>-23.59</v>
      </c>
      <c r="J874" s="70">
        <v>0.27</v>
      </c>
      <c r="K874" s="70">
        <v>22.18</v>
      </c>
      <c r="L874" s="70">
        <v>4.3600000000000003</v>
      </c>
      <c r="M874" s="68">
        <f t="shared" si="13"/>
        <v>861.91</v>
      </c>
    </row>
    <row r="875" spans="1:13" x14ac:dyDescent="0.25">
      <c r="A875" s="70">
        <v>2087</v>
      </c>
      <c r="B875" s="70" t="s">
        <v>229</v>
      </c>
      <c r="C875" s="70">
        <v>0</v>
      </c>
      <c r="D875" s="70" t="s">
        <v>1522</v>
      </c>
      <c r="E875" s="70">
        <v>0</v>
      </c>
      <c r="F875" s="70"/>
      <c r="G875" s="70">
        <v>-819.25</v>
      </c>
      <c r="H875" s="70">
        <v>7.81</v>
      </c>
      <c r="I875" s="70">
        <v>-23.69</v>
      </c>
      <c r="J875" s="70">
        <v>0.27</v>
      </c>
      <c r="K875" s="70">
        <v>-5.81</v>
      </c>
      <c r="L875" s="70">
        <v>3.77</v>
      </c>
      <c r="M875" s="68">
        <f t="shared" si="13"/>
        <v>819.25</v>
      </c>
    </row>
    <row r="876" spans="1:13" x14ac:dyDescent="0.25">
      <c r="A876" s="70">
        <v>2225</v>
      </c>
      <c r="B876" s="70" t="s">
        <v>229</v>
      </c>
      <c r="C876" s="70">
        <v>0</v>
      </c>
      <c r="D876" s="70" t="s">
        <v>1666</v>
      </c>
      <c r="E876" s="70">
        <v>0</v>
      </c>
      <c r="F876" s="70"/>
      <c r="G876" s="70">
        <v>-820.12</v>
      </c>
      <c r="H876" s="70">
        <v>7.81</v>
      </c>
      <c r="I876" s="70">
        <v>-23.84</v>
      </c>
      <c r="J876" s="70">
        <v>0.27</v>
      </c>
      <c r="K876" s="70">
        <v>-5.81</v>
      </c>
      <c r="L876" s="70">
        <v>3.77</v>
      </c>
      <c r="M876" s="68">
        <f t="shared" si="13"/>
        <v>820.12</v>
      </c>
    </row>
    <row r="877" spans="1:13" x14ac:dyDescent="0.25">
      <c r="A877" s="70">
        <v>2501</v>
      </c>
      <c r="B877" s="70" t="s">
        <v>229</v>
      </c>
      <c r="C877" s="70">
        <v>0</v>
      </c>
      <c r="D877" s="70" t="s">
        <v>1955</v>
      </c>
      <c r="E877" s="70">
        <v>4</v>
      </c>
      <c r="F877" s="70"/>
      <c r="G877" s="70">
        <v>-864.94</v>
      </c>
      <c r="H877" s="70">
        <v>7.82</v>
      </c>
      <c r="I877" s="70">
        <v>-23.95</v>
      </c>
      <c r="J877" s="70">
        <v>0.27</v>
      </c>
      <c r="K877" s="70">
        <v>22.5</v>
      </c>
      <c r="L877" s="70">
        <v>-4.37</v>
      </c>
      <c r="M877" s="68">
        <f t="shared" si="13"/>
        <v>864.94</v>
      </c>
    </row>
    <row r="878" spans="1:13" x14ac:dyDescent="0.25">
      <c r="A878" s="70">
        <v>2018</v>
      </c>
      <c r="B878" s="70" t="s">
        <v>229</v>
      </c>
      <c r="C878" s="70">
        <v>0</v>
      </c>
      <c r="D878" s="70" t="s">
        <v>1450</v>
      </c>
      <c r="E878" s="70">
        <v>0</v>
      </c>
      <c r="F878" s="70"/>
      <c r="G878" s="70">
        <v>-828.16</v>
      </c>
      <c r="H878" s="70">
        <v>7.8</v>
      </c>
      <c r="I878" s="70">
        <v>-24.25</v>
      </c>
      <c r="J878" s="70">
        <v>0.27</v>
      </c>
      <c r="K878" s="70">
        <v>-6.24</v>
      </c>
      <c r="L878" s="70">
        <v>-3.77</v>
      </c>
      <c r="M878" s="68">
        <f t="shared" si="13"/>
        <v>828.16</v>
      </c>
    </row>
    <row r="879" spans="1:13" x14ac:dyDescent="0.25">
      <c r="A879" s="70">
        <v>2294</v>
      </c>
      <c r="B879" s="70" t="s">
        <v>229</v>
      </c>
      <c r="C879" s="70">
        <v>0</v>
      </c>
      <c r="D879" s="70" t="s">
        <v>1738</v>
      </c>
      <c r="E879" s="70">
        <v>0</v>
      </c>
      <c r="F879" s="70"/>
      <c r="G879" s="70">
        <v>-829.58</v>
      </c>
      <c r="H879" s="70">
        <v>7.82</v>
      </c>
      <c r="I879" s="70">
        <v>-24.46</v>
      </c>
      <c r="J879" s="70">
        <v>0.27</v>
      </c>
      <c r="K879" s="70">
        <v>-6.22</v>
      </c>
      <c r="L879" s="70">
        <v>3.78</v>
      </c>
      <c r="M879" s="68">
        <f t="shared" si="13"/>
        <v>829.58</v>
      </c>
    </row>
    <row r="880" spans="1:13" x14ac:dyDescent="0.25">
      <c r="A880" s="70">
        <v>1949</v>
      </c>
      <c r="B880" s="70" t="s">
        <v>229</v>
      </c>
      <c r="C880" s="70">
        <v>0</v>
      </c>
      <c r="D880" s="70" t="s">
        <v>1378</v>
      </c>
      <c r="E880" s="70">
        <v>0</v>
      </c>
      <c r="F880" s="70"/>
      <c r="G880" s="70">
        <v>-837.07</v>
      </c>
      <c r="H880" s="70">
        <v>7.8</v>
      </c>
      <c r="I880" s="70">
        <v>-24.82</v>
      </c>
      <c r="J880" s="70">
        <v>0.27</v>
      </c>
      <c r="K880" s="70">
        <v>-6.86</v>
      </c>
      <c r="L880" s="70">
        <v>-3.77</v>
      </c>
      <c r="M880" s="68">
        <f t="shared" si="13"/>
        <v>837.07</v>
      </c>
    </row>
    <row r="881" spans="1:13" x14ac:dyDescent="0.25">
      <c r="A881" s="70">
        <v>2363</v>
      </c>
      <c r="B881" s="70" t="s">
        <v>229</v>
      </c>
      <c r="C881" s="70">
        <v>0</v>
      </c>
      <c r="D881" s="70" t="s">
        <v>1810</v>
      </c>
      <c r="E881" s="70">
        <v>0</v>
      </c>
      <c r="F881" s="70"/>
      <c r="G881" s="70">
        <v>-839.09</v>
      </c>
      <c r="H881" s="70">
        <v>7.82</v>
      </c>
      <c r="I881" s="70">
        <v>-25.08</v>
      </c>
      <c r="J881" s="70">
        <v>0.27</v>
      </c>
      <c r="K881" s="70">
        <v>-6.83</v>
      </c>
      <c r="L881" s="70">
        <v>3.78</v>
      </c>
      <c r="M881" s="68">
        <f t="shared" si="13"/>
        <v>839.09</v>
      </c>
    </row>
    <row r="882" spans="1:13" x14ac:dyDescent="0.25">
      <c r="A882" s="70">
        <v>1880</v>
      </c>
      <c r="B882" s="70" t="s">
        <v>229</v>
      </c>
      <c r="C882" s="70">
        <v>0</v>
      </c>
      <c r="D882" s="70" t="s">
        <v>1306</v>
      </c>
      <c r="E882" s="70">
        <v>0</v>
      </c>
      <c r="F882" s="70"/>
      <c r="G882" s="70">
        <v>-846.03</v>
      </c>
      <c r="H882" s="70">
        <v>7.8</v>
      </c>
      <c r="I882" s="70">
        <v>-25.39</v>
      </c>
      <c r="J882" s="70">
        <v>0.27</v>
      </c>
      <c r="K882" s="70">
        <v>-7.58</v>
      </c>
      <c r="L882" s="70">
        <v>-3.77</v>
      </c>
      <c r="M882" s="68">
        <f t="shared" si="13"/>
        <v>846.03</v>
      </c>
    </row>
    <row r="883" spans="1:13" x14ac:dyDescent="0.25">
      <c r="A883" s="70">
        <v>2432</v>
      </c>
      <c r="B883" s="70" t="s">
        <v>229</v>
      </c>
      <c r="C883" s="70">
        <v>0</v>
      </c>
      <c r="D883" s="70" t="s">
        <v>1882</v>
      </c>
      <c r="E883" s="70">
        <v>0</v>
      </c>
      <c r="F883" s="70"/>
      <c r="G883" s="70">
        <v>-848.61</v>
      </c>
      <c r="H883" s="70">
        <v>7.82</v>
      </c>
      <c r="I883" s="70">
        <v>-25.7</v>
      </c>
      <c r="J883" s="70">
        <v>0.27</v>
      </c>
      <c r="K883" s="70">
        <v>-7.5</v>
      </c>
      <c r="L883" s="70">
        <v>3.78</v>
      </c>
      <c r="M883" s="68">
        <f t="shared" si="13"/>
        <v>848.61</v>
      </c>
    </row>
    <row r="884" spans="1:13" x14ac:dyDescent="0.25">
      <c r="A884" s="70">
        <v>1811</v>
      </c>
      <c r="B884" s="70" t="s">
        <v>229</v>
      </c>
      <c r="C884" s="70">
        <v>0</v>
      </c>
      <c r="D884" s="70" t="s">
        <v>1234</v>
      </c>
      <c r="E884" s="70">
        <v>0</v>
      </c>
      <c r="F884" s="70"/>
      <c r="G884" s="70">
        <v>-855.1</v>
      </c>
      <c r="H884" s="70">
        <v>7.79</v>
      </c>
      <c r="I884" s="70">
        <v>-25.95</v>
      </c>
      <c r="J884" s="70">
        <v>0.27</v>
      </c>
      <c r="K884" s="70">
        <v>-8.31</v>
      </c>
      <c r="L884" s="70">
        <v>-3.77</v>
      </c>
      <c r="M884" s="68">
        <f t="shared" si="13"/>
        <v>855.1</v>
      </c>
    </row>
    <row r="885" spans="1:13" x14ac:dyDescent="0.25">
      <c r="A885" s="70">
        <v>1753</v>
      </c>
      <c r="B885" s="70" t="s">
        <v>229</v>
      </c>
      <c r="C885" s="70">
        <v>0</v>
      </c>
      <c r="D885" s="70" t="s">
        <v>1180</v>
      </c>
      <c r="E885" s="70">
        <v>0</v>
      </c>
      <c r="F885" s="70"/>
      <c r="G885" s="70">
        <v>-66.41</v>
      </c>
      <c r="H885" s="70">
        <v>-8.2200000000000006</v>
      </c>
      <c r="I885" s="70">
        <v>-26.3</v>
      </c>
      <c r="J885" s="70">
        <v>-0.56999999999999995</v>
      </c>
      <c r="K885" s="70">
        <v>-15.05</v>
      </c>
      <c r="L885" s="70">
        <v>-3.93</v>
      </c>
      <c r="M885" s="68">
        <f t="shared" si="13"/>
        <v>66.41</v>
      </c>
    </row>
    <row r="886" spans="1:13" x14ac:dyDescent="0.25">
      <c r="A886" s="70">
        <v>2501</v>
      </c>
      <c r="B886" s="70" t="s">
        <v>229</v>
      </c>
      <c r="C886" s="70">
        <v>0</v>
      </c>
      <c r="D886" s="70" t="s">
        <v>1954</v>
      </c>
      <c r="E886" s="70">
        <v>0</v>
      </c>
      <c r="F886" s="70"/>
      <c r="G886" s="70">
        <v>-858.13</v>
      </c>
      <c r="H886" s="70">
        <v>7.82</v>
      </c>
      <c r="I886" s="70">
        <v>-26.31</v>
      </c>
      <c r="J886" s="70">
        <v>0.27</v>
      </c>
      <c r="K886" s="70">
        <v>-8.17</v>
      </c>
      <c r="L886" s="70">
        <v>3.78</v>
      </c>
      <c r="M886" s="68">
        <f t="shared" si="13"/>
        <v>858.13</v>
      </c>
    </row>
    <row r="887" spans="1:13" x14ac:dyDescent="0.25">
      <c r="A887" s="70">
        <v>1754</v>
      </c>
      <c r="B887" s="70" t="s">
        <v>229</v>
      </c>
      <c r="C887" s="70">
        <v>0</v>
      </c>
      <c r="D887" s="70" t="s">
        <v>1182</v>
      </c>
      <c r="E887" s="70">
        <v>0</v>
      </c>
      <c r="F887" s="70"/>
      <c r="G887" s="70">
        <v>169.82</v>
      </c>
      <c r="H887" s="70">
        <v>-7.65</v>
      </c>
      <c r="I887" s="70">
        <v>-26.4</v>
      </c>
      <c r="J887" s="70">
        <v>-0.59</v>
      </c>
      <c r="K887" s="70">
        <v>-9.4600000000000009</v>
      </c>
      <c r="L887" s="70">
        <v>-3.78</v>
      </c>
      <c r="M887" s="68">
        <f t="shared" si="13"/>
        <v>-169.82</v>
      </c>
    </row>
    <row r="888" spans="1:13" x14ac:dyDescent="0.25">
      <c r="A888" s="70">
        <v>2443</v>
      </c>
      <c r="B888" s="70" t="s">
        <v>229</v>
      </c>
      <c r="C888" s="70">
        <v>0</v>
      </c>
      <c r="D888" s="70" t="s">
        <v>1900</v>
      </c>
      <c r="E888" s="70">
        <v>0</v>
      </c>
      <c r="F888" s="70"/>
      <c r="G888" s="70">
        <v>-64.61</v>
      </c>
      <c r="H888" s="70">
        <v>-8.25</v>
      </c>
      <c r="I888" s="70">
        <v>-26.68</v>
      </c>
      <c r="J888" s="70">
        <v>-0.56999999999999995</v>
      </c>
      <c r="K888" s="70">
        <v>-15.28</v>
      </c>
      <c r="L888" s="70">
        <v>-3.94</v>
      </c>
      <c r="M888" s="68">
        <f t="shared" si="13"/>
        <v>64.61</v>
      </c>
    </row>
    <row r="889" spans="1:13" x14ac:dyDescent="0.25">
      <c r="A889" s="70">
        <v>2444</v>
      </c>
      <c r="B889" s="70" t="s">
        <v>229</v>
      </c>
      <c r="C889" s="70">
        <v>0</v>
      </c>
      <c r="D889" s="70" t="s">
        <v>1902</v>
      </c>
      <c r="E889" s="70">
        <v>0</v>
      </c>
      <c r="F889" s="70"/>
      <c r="G889" s="70">
        <v>168.74</v>
      </c>
      <c r="H889" s="70">
        <v>-7.67</v>
      </c>
      <c r="I889" s="70">
        <v>-26.82</v>
      </c>
      <c r="J889" s="70">
        <v>-0.59</v>
      </c>
      <c r="K889" s="70">
        <v>-9.7100000000000009</v>
      </c>
      <c r="L889" s="70">
        <v>-3.79</v>
      </c>
      <c r="M889" s="68">
        <f t="shared" si="13"/>
        <v>-168.74</v>
      </c>
    </row>
    <row r="890" spans="1:13" x14ac:dyDescent="0.25">
      <c r="A890" s="70">
        <v>2157</v>
      </c>
      <c r="B890" s="70" t="s">
        <v>229</v>
      </c>
      <c r="C890" s="70">
        <v>0</v>
      </c>
      <c r="D890" s="70" t="s">
        <v>1597</v>
      </c>
      <c r="E890" s="70">
        <v>4</v>
      </c>
      <c r="F890" s="70"/>
      <c r="G890" s="70">
        <v>-934.98</v>
      </c>
      <c r="H890" s="70">
        <v>2.29</v>
      </c>
      <c r="I890" s="70">
        <v>-37.26</v>
      </c>
      <c r="J890" s="70">
        <v>0.28999999999999998</v>
      </c>
      <c r="K890" s="70">
        <v>45.91</v>
      </c>
      <c r="L890" s="70">
        <v>-2.0499999999999998</v>
      </c>
      <c r="M890" s="68">
        <f t="shared" si="13"/>
        <v>934.98</v>
      </c>
    </row>
    <row r="891" spans="1:13" x14ac:dyDescent="0.25">
      <c r="A891" s="70">
        <v>2226</v>
      </c>
      <c r="B891" s="70" t="s">
        <v>229</v>
      </c>
      <c r="C891" s="70">
        <v>0</v>
      </c>
      <c r="D891" s="70" t="s">
        <v>1669</v>
      </c>
      <c r="E891" s="70">
        <v>4</v>
      </c>
      <c r="F891" s="70"/>
      <c r="G891" s="70">
        <v>-946.1</v>
      </c>
      <c r="H891" s="70">
        <v>2.29</v>
      </c>
      <c r="I891" s="70">
        <v>-38.04</v>
      </c>
      <c r="J891" s="70">
        <v>0.28999999999999998</v>
      </c>
      <c r="K891" s="70">
        <v>46.3</v>
      </c>
      <c r="L891" s="70">
        <v>-2.0499999999999998</v>
      </c>
      <c r="M891" s="68">
        <f t="shared" si="13"/>
        <v>946.1</v>
      </c>
    </row>
    <row r="892" spans="1:13" x14ac:dyDescent="0.25">
      <c r="A892" s="70">
        <v>2088</v>
      </c>
      <c r="B892" s="70" t="s">
        <v>229</v>
      </c>
      <c r="C892" s="70">
        <v>0</v>
      </c>
      <c r="D892" s="70" t="s">
        <v>1525</v>
      </c>
      <c r="E892" s="70">
        <v>4</v>
      </c>
      <c r="F892" s="70"/>
      <c r="G892" s="70">
        <v>-945.18</v>
      </c>
      <c r="H892" s="70">
        <v>2.2799999999999998</v>
      </c>
      <c r="I892" s="70">
        <v>-38.1</v>
      </c>
      <c r="J892" s="70">
        <v>0.28999999999999998</v>
      </c>
      <c r="K892" s="70">
        <v>46.32</v>
      </c>
      <c r="L892" s="70">
        <v>-2.0499999999999998</v>
      </c>
      <c r="M892" s="68">
        <f t="shared" si="13"/>
        <v>945.18</v>
      </c>
    </row>
    <row r="893" spans="1:13" x14ac:dyDescent="0.25">
      <c r="A893" s="70">
        <v>2157</v>
      </c>
      <c r="B893" s="70" t="s">
        <v>229</v>
      </c>
      <c r="C893" s="70">
        <v>0</v>
      </c>
      <c r="D893" s="70" t="s">
        <v>1596</v>
      </c>
      <c r="E893" s="70">
        <v>0</v>
      </c>
      <c r="F893" s="70"/>
      <c r="G893" s="70">
        <v>-927.88</v>
      </c>
      <c r="H893" s="70">
        <v>2.29</v>
      </c>
      <c r="I893" s="70">
        <v>-38.479999999999997</v>
      </c>
      <c r="J893" s="70">
        <v>0.28999999999999998</v>
      </c>
      <c r="K893" s="70">
        <v>20.96</v>
      </c>
      <c r="L893" s="70">
        <v>1.44</v>
      </c>
      <c r="M893" s="68">
        <f t="shared" si="13"/>
        <v>927.88</v>
      </c>
    </row>
    <row r="894" spans="1:13" x14ac:dyDescent="0.25">
      <c r="A894" s="70">
        <v>2295</v>
      </c>
      <c r="B894" s="70" t="s">
        <v>229</v>
      </c>
      <c r="C894" s="70">
        <v>0</v>
      </c>
      <c r="D894" s="70" t="s">
        <v>1741</v>
      </c>
      <c r="E894" s="70">
        <v>4</v>
      </c>
      <c r="F894" s="70"/>
      <c r="G894" s="70">
        <v>-957.28</v>
      </c>
      <c r="H894" s="70">
        <v>2.29</v>
      </c>
      <c r="I894" s="70">
        <v>-38.83</v>
      </c>
      <c r="J894" s="70">
        <v>0.28999999999999998</v>
      </c>
      <c r="K894" s="70">
        <v>46.7</v>
      </c>
      <c r="L894" s="70">
        <v>-2.0499999999999998</v>
      </c>
      <c r="M894" s="68">
        <f t="shared" si="13"/>
        <v>957.28</v>
      </c>
    </row>
    <row r="895" spans="1:13" x14ac:dyDescent="0.25">
      <c r="A895" s="70">
        <v>2019</v>
      </c>
      <c r="B895" s="70" t="s">
        <v>229</v>
      </c>
      <c r="C895" s="70">
        <v>0</v>
      </c>
      <c r="D895" s="70" t="s">
        <v>1453</v>
      </c>
      <c r="E895" s="70">
        <v>4</v>
      </c>
      <c r="F895" s="70"/>
      <c r="G895" s="70">
        <v>-955.73</v>
      </c>
      <c r="H895" s="70">
        <v>2.2799999999999998</v>
      </c>
      <c r="I895" s="70">
        <v>-38.950000000000003</v>
      </c>
      <c r="J895" s="70">
        <v>0.28999999999999998</v>
      </c>
      <c r="K895" s="70">
        <v>46.73</v>
      </c>
      <c r="L895" s="70">
        <v>-2.0499999999999998</v>
      </c>
      <c r="M895" s="68">
        <f t="shared" si="13"/>
        <v>955.73</v>
      </c>
    </row>
    <row r="896" spans="1:13" x14ac:dyDescent="0.25">
      <c r="A896" s="70">
        <v>2226</v>
      </c>
      <c r="B896" s="70" t="s">
        <v>229</v>
      </c>
      <c r="C896" s="70">
        <v>0</v>
      </c>
      <c r="D896" s="70" t="s">
        <v>1668</v>
      </c>
      <c r="E896" s="70">
        <v>0</v>
      </c>
      <c r="F896" s="70"/>
      <c r="G896" s="70">
        <v>-938.99</v>
      </c>
      <c r="H896" s="70">
        <v>2.29</v>
      </c>
      <c r="I896" s="70">
        <v>-39.25</v>
      </c>
      <c r="J896" s="70">
        <v>0.28999999999999998</v>
      </c>
      <c r="K896" s="70">
        <v>21</v>
      </c>
      <c r="L896" s="70">
        <v>1.44</v>
      </c>
      <c r="M896" s="68">
        <f t="shared" si="13"/>
        <v>938.99</v>
      </c>
    </row>
    <row r="897" spans="1:13" x14ac:dyDescent="0.25">
      <c r="A897" s="70">
        <v>2088</v>
      </c>
      <c r="B897" s="70" t="s">
        <v>229</v>
      </c>
      <c r="C897" s="70">
        <v>0</v>
      </c>
      <c r="D897" s="70" t="s">
        <v>1524</v>
      </c>
      <c r="E897" s="70">
        <v>0</v>
      </c>
      <c r="F897" s="70"/>
      <c r="G897" s="70">
        <v>-938.08</v>
      </c>
      <c r="H897" s="70">
        <v>2.2799999999999998</v>
      </c>
      <c r="I897" s="70">
        <v>-39.32</v>
      </c>
      <c r="J897" s="70">
        <v>0.28999999999999998</v>
      </c>
      <c r="K897" s="70">
        <v>21.1</v>
      </c>
      <c r="L897" s="70">
        <v>1.43</v>
      </c>
      <c r="M897" s="68">
        <f t="shared" si="13"/>
        <v>938.08</v>
      </c>
    </row>
    <row r="898" spans="1:13" x14ac:dyDescent="0.25">
      <c r="A898" s="70">
        <v>2364</v>
      </c>
      <c r="B898" s="70" t="s">
        <v>229</v>
      </c>
      <c r="C898" s="70">
        <v>0</v>
      </c>
      <c r="D898" s="70" t="s">
        <v>1813</v>
      </c>
      <c r="E898" s="70">
        <v>4</v>
      </c>
      <c r="F898" s="70"/>
      <c r="G898" s="70">
        <v>-968.48</v>
      </c>
      <c r="H898" s="70">
        <v>2.29</v>
      </c>
      <c r="I898" s="70">
        <v>-39.659999999999997</v>
      </c>
      <c r="J898" s="70">
        <v>0.28999999999999998</v>
      </c>
      <c r="K898" s="70">
        <v>47.1</v>
      </c>
      <c r="L898" s="70">
        <v>-2.0499999999999998</v>
      </c>
      <c r="M898" s="68">
        <f t="shared" ref="M898:M937" si="14">G898*-1</f>
        <v>968.48</v>
      </c>
    </row>
    <row r="899" spans="1:13" x14ac:dyDescent="0.25">
      <c r="A899" s="70">
        <v>1950</v>
      </c>
      <c r="B899" s="70" t="s">
        <v>229</v>
      </c>
      <c r="C899" s="70">
        <v>0</v>
      </c>
      <c r="D899" s="70" t="s">
        <v>1381</v>
      </c>
      <c r="E899" s="70">
        <v>4</v>
      </c>
      <c r="F899" s="70"/>
      <c r="G899" s="70">
        <v>-966.28</v>
      </c>
      <c r="H899" s="70">
        <v>2.2799999999999998</v>
      </c>
      <c r="I899" s="70">
        <v>-39.799999999999997</v>
      </c>
      <c r="J899" s="70">
        <v>0.28999999999999998</v>
      </c>
      <c r="K899" s="70">
        <v>47.15</v>
      </c>
      <c r="L899" s="70">
        <v>-2.0499999999999998</v>
      </c>
      <c r="M899" s="68">
        <f t="shared" si="14"/>
        <v>966.28</v>
      </c>
    </row>
    <row r="900" spans="1:13" x14ac:dyDescent="0.25">
      <c r="A900" s="70">
        <v>2295</v>
      </c>
      <c r="B900" s="70" t="s">
        <v>229</v>
      </c>
      <c r="C900" s="70">
        <v>0</v>
      </c>
      <c r="D900" s="70" t="s">
        <v>1740</v>
      </c>
      <c r="E900" s="70">
        <v>0</v>
      </c>
      <c r="F900" s="70"/>
      <c r="G900" s="70">
        <v>-950.18</v>
      </c>
      <c r="H900" s="70">
        <v>2.29</v>
      </c>
      <c r="I900" s="70">
        <v>-40.049999999999997</v>
      </c>
      <c r="J900" s="70">
        <v>0.28999999999999998</v>
      </c>
      <c r="K900" s="70">
        <v>21.05</v>
      </c>
      <c r="L900" s="70">
        <v>1.44</v>
      </c>
      <c r="M900" s="68">
        <f t="shared" si="14"/>
        <v>950.18</v>
      </c>
    </row>
    <row r="901" spans="1:13" x14ac:dyDescent="0.25">
      <c r="A901" s="70">
        <v>2019</v>
      </c>
      <c r="B901" s="70" t="s">
        <v>229</v>
      </c>
      <c r="C901" s="70">
        <v>0</v>
      </c>
      <c r="D901" s="70" t="s">
        <v>1452</v>
      </c>
      <c r="E901" s="70">
        <v>0</v>
      </c>
      <c r="F901" s="70"/>
      <c r="G901" s="70">
        <v>-948.62</v>
      </c>
      <c r="H901" s="70">
        <v>2.2799999999999998</v>
      </c>
      <c r="I901" s="70">
        <v>-40.17</v>
      </c>
      <c r="J901" s="70">
        <v>0.28999999999999998</v>
      </c>
      <c r="K901" s="70">
        <v>21.24</v>
      </c>
      <c r="L901" s="70">
        <v>1.43</v>
      </c>
      <c r="M901" s="68">
        <f t="shared" si="14"/>
        <v>948.62</v>
      </c>
    </row>
    <row r="902" spans="1:13" x14ac:dyDescent="0.25">
      <c r="A902" s="70">
        <v>2433</v>
      </c>
      <c r="B902" s="70" t="s">
        <v>229</v>
      </c>
      <c r="C902" s="70">
        <v>0</v>
      </c>
      <c r="D902" s="70" t="s">
        <v>1885</v>
      </c>
      <c r="E902" s="70">
        <v>4</v>
      </c>
      <c r="F902" s="70"/>
      <c r="G902" s="70">
        <v>-979.68</v>
      </c>
      <c r="H902" s="70">
        <v>2.29</v>
      </c>
      <c r="I902" s="70">
        <v>-40.49</v>
      </c>
      <c r="J902" s="70">
        <v>0.28999999999999998</v>
      </c>
      <c r="K902" s="70">
        <v>47.5</v>
      </c>
      <c r="L902" s="70">
        <v>-2.0499999999999998</v>
      </c>
      <c r="M902" s="68">
        <f t="shared" si="14"/>
        <v>979.68</v>
      </c>
    </row>
    <row r="903" spans="1:13" x14ac:dyDescent="0.25">
      <c r="A903" s="70">
        <v>1881</v>
      </c>
      <c r="B903" s="70" t="s">
        <v>229</v>
      </c>
      <c r="C903" s="70">
        <v>0</v>
      </c>
      <c r="D903" s="70" t="s">
        <v>1309</v>
      </c>
      <c r="E903" s="70">
        <v>4</v>
      </c>
      <c r="F903" s="70"/>
      <c r="G903" s="70">
        <v>-976.92</v>
      </c>
      <c r="H903" s="70">
        <v>2.2799999999999998</v>
      </c>
      <c r="I903" s="70">
        <v>-40.65</v>
      </c>
      <c r="J903" s="70">
        <v>0.28999999999999998</v>
      </c>
      <c r="K903" s="70">
        <v>47.57</v>
      </c>
      <c r="L903" s="70">
        <v>-2.0499999999999998</v>
      </c>
      <c r="M903" s="68">
        <f t="shared" si="14"/>
        <v>976.92</v>
      </c>
    </row>
    <row r="904" spans="1:13" x14ac:dyDescent="0.25">
      <c r="A904" s="70">
        <v>2364</v>
      </c>
      <c r="B904" s="70" t="s">
        <v>229</v>
      </c>
      <c r="C904" s="70">
        <v>0</v>
      </c>
      <c r="D904" s="70" t="s">
        <v>1812</v>
      </c>
      <c r="E904" s="70">
        <v>0</v>
      </c>
      <c r="F904" s="70"/>
      <c r="G904" s="70">
        <v>-961.38</v>
      </c>
      <c r="H904" s="70">
        <v>2.29</v>
      </c>
      <c r="I904" s="70">
        <v>-40.880000000000003</v>
      </c>
      <c r="J904" s="70">
        <v>0.28999999999999998</v>
      </c>
      <c r="K904" s="70">
        <v>21.13</v>
      </c>
      <c r="L904" s="70">
        <v>1.44</v>
      </c>
      <c r="M904" s="68">
        <f t="shared" si="14"/>
        <v>961.38</v>
      </c>
    </row>
    <row r="905" spans="1:13" x14ac:dyDescent="0.25">
      <c r="A905" s="70">
        <v>1950</v>
      </c>
      <c r="B905" s="70" t="s">
        <v>229</v>
      </c>
      <c r="C905" s="70">
        <v>0</v>
      </c>
      <c r="D905" s="70" t="s">
        <v>1380</v>
      </c>
      <c r="E905" s="70">
        <v>0</v>
      </c>
      <c r="F905" s="70"/>
      <c r="G905" s="70">
        <v>-959.18</v>
      </c>
      <c r="H905" s="70">
        <v>2.2799999999999998</v>
      </c>
      <c r="I905" s="70">
        <v>-41.02</v>
      </c>
      <c r="J905" s="70">
        <v>0.28999999999999998</v>
      </c>
      <c r="K905" s="70">
        <v>21.38</v>
      </c>
      <c r="L905" s="70">
        <v>1.43</v>
      </c>
      <c r="M905" s="68">
        <f t="shared" si="14"/>
        <v>959.18</v>
      </c>
    </row>
    <row r="906" spans="1:13" x14ac:dyDescent="0.25">
      <c r="A906" s="70">
        <v>2502</v>
      </c>
      <c r="B906" s="70" t="s">
        <v>229</v>
      </c>
      <c r="C906" s="70">
        <v>0</v>
      </c>
      <c r="D906" s="70" t="s">
        <v>1957</v>
      </c>
      <c r="E906" s="70">
        <v>4</v>
      </c>
      <c r="F906" s="70"/>
      <c r="G906" s="70">
        <v>-990.9</v>
      </c>
      <c r="H906" s="70">
        <v>2.29</v>
      </c>
      <c r="I906" s="70">
        <v>-41.32</v>
      </c>
      <c r="J906" s="70">
        <v>0.28999999999999998</v>
      </c>
      <c r="K906" s="70">
        <v>47.91</v>
      </c>
      <c r="L906" s="70">
        <v>-2.0499999999999998</v>
      </c>
      <c r="M906" s="68">
        <f t="shared" si="14"/>
        <v>990.9</v>
      </c>
    </row>
    <row r="907" spans="1:13" x14ac:dyDescent="0.25">
      <c r="A907" s="70">
        <v>1812</v>
      </c>
      <c r="B907" s="70" t="s">
        <v>229</v>
      </c>
      <c r="C907" s="70">
        <v>0</v>
      </c>
      <c r="D907" s="70" t="s">
        <v>1237</v>
      </c>
      <c r="E907" s="70">
        <v>4</v>
      </c>
      <c r="F907" s="70"/>
      <c r="G907" s="70">
        <v>-987.56</v>
      </c>
      <c r="H907" s="70">
        <v>2.2799999999999998</v>
      </c>
      <c r="I907" s="70">
        <v>-41.5</v>
      </c>
      <c r="J907" s="70">
        <v>0.28999999999999998</v>
      </c>
      <c r="K907" s="70">
        <v>47.99</v>
      </c>
      <c r="L907" s="70">
        <v>-2.0499999999999998</v>
      </c>
      <c r="M907" s="68">
        <f t="shared" si="14"/>
        <v>987.56</v>
      </c>
    </row>
    <row r="908" spans="1:13" x14ac:dyDescent="0.25">
      <c r="A908" s="70">
        <v>2433</v>
      </c>
      <c r="B908" s="70" t="s">
        <v>229</v>
      </c>
      <c r="C908" s="70">
        <v>0</v>
      </c>
      <c r="D908" s="70" t="s">
        <v>1884</v>
      </c>
      <c r="E908" s="70">
        <v>0</v>
      </c>
      <c r="F908" s="70"/>
      <c r="G908" s="70">
        <v>-972.58</v>
      </c>
      <c r="H908" s="70">
        <v>2.29</v>
      </c>
      <c r="I908" s="70">
        <v>-41.71</v>
      </c>
      <c r="J908" s="70">
        <v>0.28999999999999998</v>
      </c>
      <c r="K908" s="70">
        <v>21.21</v>
      </c>
      <c r="L908" s="70">
        <v>1.44</v>
      </c>
      <c r="M908" s="68">
        <f t="shared" si="14"/>
        <v>972.58</v>
      </c>
    </row>
    <row r="909" spans="1:13" x14ac:dyDescent="0.25">
      <c r="A909" s="70">
        <v>1881</v>
      </c>
      <c r="B909" s="70" t="s">
        <v>229</v>
      </c>
      <c r="C909" s="70">
        <v>0</v>
      </c>
      <c r="D909" s="70" t="s">
        <v>1308</v>
      </c>
      <c r="E909" s="70">
        <v>0</v>
      </c>
      <c r="F909" s="70"/>
      <c r="G909" s="70">
        <v>-969.82</v>
      </c>
      <c r="H909" s="70">
        <v>2.2799999999999998</v>
      </c>
      <c r="I909" s="70">
        <v>-41.87</v>
      </c>
      <c r="J909" s="70">
        <v>0.28999999999999998</v>
      </c>
      <c r="K909" s="70">
        <v>21.51</v>
      </c>
      <c r="L909" s="70">
        <v>1.43</v>
      </c>
      <c r="M909" s="68">
        <f t="shared" si="14"/>
        <v>969.82</v>
      </c>
    </row>
    <row r="910" spans="1:13" x14ac:dyDescent="0.25">
      <c r="A910" s="70">
        <v>2502</v>
      </c>
      <c r="B910" s="70" t="s">
        <v>229</v>
      </c>
      <c r="C910" s="70">
        <v>0</v>
      </c>
      <c r="D910" s="70" t="s">
        <v>1956</v>
      </c>
      <c r="E910" s="70">
        <v>0</v>
      </c>
      <c r="F910" s="70"/>
      <c r="G910" s="70">
        <v>-983.8</v>
      </c>
      <c r="H910" s="70">
        <v>2.29</v>
      </c>
      <c r="I910" s="70">
        <v>-42.53</v>
      </c>
      <c r="J910" s="70">
        <v>0.28999999999999998</v>
      </c>
      <c r="K910" s="70">
        <v>21.29</v>
      </c>
      <c r="L910" s="70">
        <v>1.44</v>
      </c>
      <c r="M910" s="68">
        <f t="shared" si="14"/>
        <v>983.8</v>
      </c>
    </row>
    <row r="911" spans="1:13" x14ac:dyDescent="0.25">
      <c r="A911" s="70">
        <v>1812</v>
      </c>
      <c r="B911" s="70" t="s">
        <v>229</v>
      </c>
      <c r="C911" s="70">
        <v>0</v>
      </c>
      <c r="D911" s="70" t="s">
        <v>1236</v>
      </c>
      <c r="E911" s="70">
        <v>0</v>
      </c>
      <c r="F911" s="70"/>
      <c r="G911" s="70">
        <v>-980.46</v>
      </c>
      <c r="H911" s="70">
        <v>2.2799999999999998</v>
      </c>
      <c r="I911" s="70">
        <v>-42.72</v>
      </c>
      <c r="J911" s="70">
        <v>0.28999999999999998</v>
      </c>
      <c r="K911" s="70">
        <v>21.65</v>
      </c>
      <c r="L911" s="70">
        <v>1.43</v>
      </c>
      <c r="M911" s="68">
        <f t="shared" si="14"/>
        <v>980.46</v>
      </c>
    </row>
    <row r="912" spans="1:13" x14ac:dyDescent="0.25">
      <c r="A912" s="70">
        <v>52</v>
      </c>
      <c r="B912" s="70" t="s">
        <v>229</v>
      </c>
      <c r="C912" s="70">
        <v>0</v>
      </c>
      <c r="D912" s="70" t="s">
        <v>1131</v>
      </c>
      <c r="E912" s="70">
        <v>4</v>
      </c>
      <c r="F912" s="70"/>
      <c r="G912" s="70">
        <v>-110.93</v>
      </c>
      <c r="H912" s="70">
        <v>1.06</v>
      </c>
      <c r="I912" s="70">
        <v>-51.9</v>
      </c>
      <c r="J912" s="70">
        <v>0.08</v>
      </c>
      <c r="K912" s="70">
        <v>6.42</v>
      </c>
      <c r="L912" s="70">
        <v>-0.56999999999999995</v>
      </c>
      <c r="M912" s="68">
        <f t="shared" si="14"/>
        <v>110.93</v>
      </c>
    </row>
    <row r="913" spans="1:13" x14ac:dyDescent="0.25">
      <c r="A913" s="70">
        <v>2554</v>
      </c>
      <c r="B913" s="70" t="s">
        <v>229</v>
      </c>
      <c r="C913" s="70">
        <v>0</v>
      </c>
      <c r="D913" s="70" t="s">
        <v>1995</v>
      </c>
      <c r="E913" s="70">
        <v>4</v>
      </c>
      <c r="F913" s="70"/>
      <c r="G913" s="70">
        <v>-110.57</v>
      </c>
      <c r="H913" s="70">
        <v>1.06</v>
      </c>
      <c r="I913" s="70">
        <v>-51.92</v>
      </c>
      <c r="J913" s="70">
        <v>0.08</v>
      </c>
      <c r="K913" s="70">
        <v>6.43</v>
      </c>
      <c r="L913" s="70">
        <v>-0.56000000000000005</v>
      </c>
      <c r="M913" s="68">
        <f t="shared" si="14"/>
        <v>110.57</v>
      </c>
    </row>
    <row r="914" spans="1:13" x14ac:dyDescent="0.25">
      <c r="A914" s="70">
        <v>52</v>
      </c>
      <c r="B914" s="70" t="s">
        <v>229</v>
      </c>
      <c r="C914" s="70">
        <v>0</v>
      </c>
      <c r="D914" s="70" t="s">
        <v>1130</v>
      </c>
      <c r="E914" s="70">
        <v>0</v>
      </c>
      <c r="F914" s="70"/>
      <c r="G914" s="70">
        <v>-114.48</v>
      </c>
      <c r="H914" s="70">
        <v>1.06</v>
      </c>
      <c r="I914" s="70">
        <v>-52.5</v>
      </c>
      <c r="J914" s="70">
        <v>0.08</v>
      </c>
      <c r="K914" s="70">
        <v>-45.74</v>
      </c>
      <c r="L914" s="70">
        <v>0.49</v>
      </c>
      <c r="M914" s="68">
        <f t="shared" si="14"/>
        <v>114.48</v>
      </c>
    </row>
    <row r="915" spans="1:13" x14ac:dyDescent="0.25">
      <c r="A915" s="70">
        <v>2554</v>
      </c>
      <c r="B915" s="70" t="s">
        <v>229</v>
      </c>
      <c r="C915" s="70">
        <v>0</v>
      </c>
      <c r="D915" s="70" t="s">
        <v>1994</v>
      </c>
      <c r="E915" s="70">
        <v>0</v>
      </c>
      <c r="F915" s="70"/>
      <c r="G915" s="70">
        <v>-114.12</v>
      </c>
      <c r="H915" s="70">
        <v>1.06</v>
      </c>
      <c r="I915" s="70">
        <v>-52.53</v>
      </c>
      <c r="J915" s="70">
        <v>0.08</v>
      </c>
      <c r="K915" s="70">
        <v>-45.75</v>
      </c>
      <c r="L915" s="70">
        <v>0.49</v>
      </c>
      <c r="M915" s="68">
        <f t="shared" si="14"/>
        <v>114.12</v>
      </c>
    </row>
    <row r="916" spans="1:13" x14ac:dyDescent="0.25">
      <c r="A916" s="70">
        <v>2140</v>
      </c>
      <c r="B916" s="70" t="s">
        <v>229</v>
      </c>
      <c r="C916" s="70">
        <v>0</v>
      </c>
      <c r="D916" s="70" t="s">
        <v>1563</v>
      </c>
      <c r="E916" s="70">
        <v>4</v>
      </c>
      <c r="F916" s="70"/>
      <c r="G916" s="70">
        <v>-184.71</v>
      </c>
      <c r="H916" s="70">
        <v>4.43</v>
      </c>
      <c r="I916" s="70">
        <v>-101.96</v>
      </c>
      <c r="J916" s="70">
        <v>0.24</v>
      </c>
      <c r="K916" s="70">
        <v>11.32</v>
      </c>
      <c r="L916" s="70">
        <v>-2.54</v>
      </c>
      <c r="M916" s="68">
        <f t="shared" si="14"/>
        <v>184.71</v>
      </c>
    </row>
    <row r="917" spans="1:13" x14ac:dyDescent="0.25">
      <c r="A917" s="70">
        <v>2071</v>
      </c>
      <c r="B917" s="70" t="s">
        <v>229</v>
      </c>
      <c r="C917" s="70">
        <v>0</v>
      </c>
      <c r="D917" s="70" t="s">
        <v>1491</v>
      </c>
      <c r="E917" s="70">
        <v>4</v>
      </c>
      <c r="F917" s="70"/>
      <c r="G917" s="70">
        <v>-191.07</v>
      </c>
      <c r="H917" s="70">
        <v>4.4400000000000004</v>
      </c>
      <c r="I917" s="70">
        <v>-102.28</v>
      </c>
      <c r="J917" s="70">
        <v>0.24</v>
      </c>
      <c r="K917" s="70">
        <v>11.48</v>
      </c>
      <c r="L917" s="70">
        <v>-2.54</v>
      </c>
      <c r="M917" s="68">
        <f t="shared" si="14"/>
        <v>191.07</v>
      </c>
    </row>
    <row r="918" spans="1:13" x14ac:dyDescent="0.25">
      <c r="A918" s="70">
        <v>2209</v>
      </c>
      <c r="B918" s="70" t="s">
        <v>229</v>
      </c>
      <c r="C918" s="70">
        <v>0</v>
      </c>
      <c r="D918" s="70" t="s">
        <v>1635</v>
      </c>
      <c r="E918" s="70">
        <v>4</v>
      </c>
      <c r="F918" s="70"/>
      <c r="G918" s="70">
        <v>-190.89</v>
      </c>
      <c r="H918" s="70">
        <v>4.43</v>
      </c>
      <c r="I918" s="70">
        <v>-102.29</v>
      </c>
      <c r="J918" s="70">
        <v>0.24</v>
      </c>
      <c r="K918" s="70">
        <v>11.48</v>
      </c>
      <c r="L918" s="70">
        <v>-2.54</v>
      </c>
      <c r="M918" s="68">
        <f t="shared" si="14"/>
        <v>190.89</v>
      </c>
    </row>
    <row r="919" spans="1:13" x14ac:dyDescent="0.25">
      <c r="A919" s="70">
        <v>2002</v>
      </c>
      <c r="B919" s="70" t="s">
        <v>229</v>
      </c>
      <c r="C919" s="70">
        <v>0</v>
      </c>
      <c r="D919" s="70" t="s">
        <v>1419</v>
      </c>
      <c r="E919" s="70">
        <v>4</v>
      </c>
      <c r="F919" s="70"/>
      <c r="G919" s="70">
        <v>-197.52</v>
      </c>
      <c r="H919" s="70">
        <v>4.4400000000000004</v>
      </c>
      <c r="I919" s="70">
        <v>-102.6</v>
      </c>
      <c r="J919" s="70">
        <v>0.24</v>
      </c>
      <c r="K919" s="70">
        <v>11.64</v>
      </c>
      <c r="L919" s="70">
        <v>-2.54</v>
      </c>
      <c r="M919" s="68">
        <f t="shared" si="14"/>
        <v>197.52</v>
      </c>
    </row>
    <row r="920" spans="1:13" x14ac:dyDescent="0.25">
      <c r="A920" s="70">
        <v>2278</v>
      </c>
      <c r="B920" s="70" t="s">
        <v>229</v>
      </c>
      <c r="C920" s="70">
        <v>0</v>
      </c>
      <c r="D920" s="70" t="s">
        <v>1707</v>
      </c>
      <c r="E920" s="70">
        <v>4</v>
      </c>
      <c r="F920" s="70"/>
      <c r="G920" s="70">
        <v>-197.25</v>
      </c>
      <c r="H920" s="70">
        <v>4.43</v>
      </c>
      <c r="I920" s="70">
        <v>-102.61</v>
      </c>
      <c r="J920" s="70">
        <v>0.24</v>
      </c>
      <c r="K920" s="70">
        <v>11.64</v>
      </c>
      <c r="L920" s="70">
        <v>-2.54</v>
      </c>
      <c r="M920" s="68">
        <f t="shared" si="14"/>
        <v>197.25</v>
      </c>
    </row>
    <row r="921" spans="1:13" x14ac:dyDescent="0.25">
      <c r="A921" s="70">
        <v>1933</v>
      </c>
      <c r="B921" s="70" t="s">
        <v>229</v>
      </c>
      <c r="C921" s="70">
        <v>0</v>
      </c>
      <c r="D921" s="70" t="s">
        <v>1347</v>
      </c>
      <c r="E921" s="70">
        <v>4</v>
      </c>
      <c r="F921" s="70"/>
      <c r="G921" s="70">
        <v>-203.98</v>
      </c>
      <c r="H921" s="70">
        <v>4.4400000000000004</v>
      </c>
      <c r="I921" s="70">
        <v>-102.92</v>
      </c>
      <c r="J921" s="70">
        <v>0.24</v>
      </c>
      <c r="K921" s="70">
        <v>11.8</v>
      </c>
      <c r="L921" s="70">
        <v>-2.54</v>
      </c>
      <c r="M921" s="68">
        <f t="shared" si="14"/>
        <v>203.98</v>
      </c>
    </row>
    <row r="922" spans="1:13" x14ac:dyDescent="0.25">
      <c r="A922" s="70">
        <v>2347</v>
      </c>
      <c r="B922" s="70" t="s">
        <v>229</v>
      </c>
      <c r="C922" s="70">
        <v>0</v>
      </c>
      <c r="D922" s="70" t="s">
        <v>1779</v>
      </c>
      <c r="E922" s="70">
        <v>4</v>
      </c>
      <c r="F922" s="70"/>
      <c r="G922" s="70">
        <v>-203.62</v>
      </c>
      <c r="H922" s="70">
        <v>4.43</v>
      </c>
      <c r="I922" s="70">
        <v>-102.94</v>
      </c>
      <c r="J922" s="70">
        <v>0.24</v>
      </c>
      <c r="K922" s="70">
        <v>11.81</v>
      </c>
      <c r="L922" s="70">
        <v>-2.5299999999999998</v>
      </c>
      <c r="M922" s="68">
        <f t="shared" si="14"/>
        <v>203.62</v>
      </c>
    </row>
    <row r="923" spans="1:13" x14ac:dyDescent="0.25">
      <c r="A923" s="70">
        <v>2140</v>
      </c>
      <c r="B923" s="70" t="s">
        <v>229</v>
      </c>
      <c r="C923" s="70">
        <v>0</v>
      </c>
      <c r="D923" s="70" t="s">
        <v>1562</v>
      </c>
      <c r="E923" s="70">
        <v>0</v>
      </c>
      <c r="F923" s="70"/>
      <c r="G923" s="70">
        <v>-191.82</v>
      </c>
      <c r="H923" s="70">
        <v>4.43</v>
      </c>
      <c r="I923" s="70">
        <v>-103.18</v>
      </c>
      <c r="J923" s="70">
        <v>0.24</v>
      </c>
      <c r="K923" s="70">
        <v>-90.57</v>
      </c>
      <c r="L923" s="70">
        <v>1.91</v>
      </c>
      <c r="M923" s="68">
        <f t="shared" si="14"/>
        <v>191.82</v>
      </c>
    </row>
    <row r="924" spans="1:13" x14ac:dyDescent="0.25">
      <c r="A924" s="70">
        <v>1864</v>
      </c>
      <c r="B924" s="70" t="s">
        <v>229</v>
      </c>
      <c r="C924" s="70">
        <v>0</v>
      </c>
      <c r="D924" s="70" t="s">
        <v>1275</v>
      </c>
      <c r="E924" s="70">
        <v>4</v>
      </c>
      <c r="F924" s="70"/>
      <c r="G924" s="70">
        <v>-210.48</v>
      </c>
      <c r="H924" s="70">
        <v>4.4400000000000004</v>
      </c>
      <c r="I924" s="70">
        <v>-103.23</v>
      </c>
      <c r="J924" s="70">
        <v>0.24</v>
      </c>
      <c r="K924" s="70">
        <v>12</v>
      </c>
      <c r="L924" s="70">
        <v>-2.54</v>
      </c>
      <c r="M924" s="68">
        <f t="shared" si="14"/>
        <v>210.48</v>
      </c>
    </row>
    <row r="925" spans="1:13" x14ac:dyDescent="0.25">
      <c r="A925" s="70">
        <v>2416</v>
      </c>
      <c r="B925" s="70" t="s">
        <v>229</v>
      </c>
      <c r="C925" s="70">
        <v>0</v>
      </c>
      <c r="D925" s="70" t="s">
        <v>1851</v>
      </c>
      <c r="E925" s="70">
        <v>4</v>
      </c>
      <c r="F925" s="70"/>
      <c r="G925" s="70">
        <v>-209.99</v>
      </c>
      <c r="H925" s="70">
        <v>4.43</v>
      </c>
      <c r="I925" s="70">
        <v>-103.27</v>
      </c>
      <c r="J925" s="70">
        <v>0.24</v>
      </c>
      <c r="K925" s="70">
        <v>12.01</v>
      </c>
      <c r="L925" s="70">
        <v>-2.5299999999999998</v>
      </c>
      <c r="M925" s="68">
        <f t="shared" si="14"/>
        <v>209.99</v>
      </c>
    </row>
    <row r="926" spans="1:13" x14ac:dyDescent="0.25">
      <c r="A926" s="70">
        <v>2071</v>
      </c>
      <c r="B926" s="70" t="s">
        <v>229</v>
      </c>
      <c r="C926" s="70">
        <v>0</v>
      </c>
      <c r="D926" s="70" t="s">
        <v>1490</v>
      </c>
      <c r="E926" s="70">
        <v>0</v>
      </c>
      <c r="F926" s="70"/>
      <c r="G926" s="70">
        <v>-198.17</v>
      </c>
      <c r="H926" s="70">
        <v>4.4400000000000004</v>
      </c>
      <c r="I926" s="70">
        <v>-103.49</v>
      </c>
      <c r="J926" s="70">
        <v>0.24</v>
      </c>
      <c r="K926" s="70">
        <v>-90.73</v>
      </c>
      <c r="L926" s="70">
        <v>1.91</v>
      </c>
      <c r="M926" s="68">
        <f t="shared" si="14"/>
        <v>198.17</v>
      </c>
    </row>
    <row r="927" spans="1:13" x14ac:dyDescent="0.25">
      <c r="A927" s="70">
        <v>2209</v>
      </c>
      <c r="B927" s="70" t="s">
        <v>229</v>
      </c>
      <c r="C927" s="70">
        <v>0</v>
      </c>
      <c r="D927" s="70" t="s">
        <v>1634</v>
      </c>
      <c r="E927" s="70">
        <v>0</v>
      </c>
      <c r="F927" s="70"/>
      <c r="G927" s="70">
        <v>-197.99</v>
      </c>
      <c r="H927" s="70">
        <v>4.43</v>
      </c>
      <c r="I927" s="70">
        <v>-103.5</v>
      </c>
      <c r="J927" s="70">
        <v>0.24</v>
      </c>
      <c r="K927" s="70">
        <v>-90.73</v>
      </c>
      <c r="L927" s="70">
        <v>1.91</v>
      </c>
      <c r="M927" s="68">
        <f t="shared" si="14"/>
        <v>197.99</v>
      </c>
    </row>
    <row r="928" spans="1:13" x14ac:dyDescent="0.25">
      <c r="A928" s="70">
        <v>1795</v>
      </c>
      <c r="B928" s="70" t="s">
        <v>229</v>
      </c>
      <c r="C928" s="70">
        <v>0</v>
      </c>
      <c r="D928" s="70" t="s">
        <v>1203</v>
      </c>
      <c r="E928" s="70">
        <v>4</v>
      </c>
      <c r="F928" s="70"/>
      <c r="G928" s="70">
        <v>-216.98</v>
      </c>
      <c r="H928" s="70">
        <v>4.4400000000000004</v>
      </c>
      <c r="I928" s="70">
        <v>-103.55</v>
      </c>
      <c r="J928" s="70">
        <v>0.24</v>
      </c>
      <c r="K928" s="70">
        <v>12.48</v>
      </c>
      <c r="L928" s="70">
        <v>-2.54</v>
      </c>
      <c r="M928" s="68">
        <f t="shared" si="14"/>
        <v>216.98</v>
      </c>
    </row>
    <row r="929" spans="1:13" x14ac:dyDescent="0.25">
      <c r="A929" s="70">
        <v>2485</v>
      </c>
      <c r="B929" s="70" t="s">
        <v>229</v>
      </c>
      <c r="C929" s="70">
        <v>0</v>
      </c>
      <c r="D929" s="70" t="s">
        <v>1923</v>
      </c>
      <c r="E929" s="70">
        <v>4</v>
      </c>
      <c r="F929" s="70"/>
      <c r="G929" s="70">
        <v>-216.36</v>
      </c>
      <c r="H929" s="70">
        <v>4.43</v>
      </c>
      <c r="I929" s="70">
        <v>-103.59</v>
      </c>
      <c r="J929" s="70">
        <v>0.24</v>
      </c>
      <c r="K929" s="70">
        <v>12.5</v>
      </c>
      <c r="L929" s="70">
        <v>-2.5299999999999998</v>
      </c>
      <c r="M929" s="68">
        <f t="shared" si="14"/>
        <v>216.36</v>
      </c>
    </row>
    <row r="930" spans="1:13" x14ac:dyDescent="0.25">
      <c r="A930" s="70">
        <v>2002</v>
      </c>
      <c r="B930" s="70" t="s">
        <v>229</v>
      </c>
      <c r="C930" s="70">
        <v>0</v>
      </c>
      <c r="D930" s="70" t="s">
        <v>1418</v>
      </c>
      <c r="E930" s="70">
        <v>0</v>
      </c>
      <c r="F930" s="70"/>
      <c r="G930" s="70">
        <v>-204.62</v>
      </c>
      <c r="H930" s="70">
        <v>4.4400000000000004</v>
      </c>
      <c r="I930" s="70">
        <v>-103.81</v>
      </c>
      <c r="J930" s="70">
        <v>0.24</v>
      </c>
      <c r="K930" s="70">
        <v>-90.88</v>
      </c>
      <c r="L930" s="70">
        <v>1.91</v>
      </c>
      <c r="M930" s="68">
        <f t="shared" si="14"/>
        <v>204.62</v>
      </c>
    </row>
    <row r="931" spans="1:13" x14ac:dyDescent="0.25">
      <c r="A931" s="70">
        <v>2278</v>
      </c>
      <c r="B931" s="70" t="s">
        <v>229</v>
      </c>
      <c r="C931" s="70">
        <v>0</v>
      </c>
      <c r="D931" s="70" t="s">
        <v>1706</v>
      </c>
      <c r="E931" s="70">
        <v>0</v>
      </c>
      <c r="F931" s="70"/>
      <c r="G931" s="70">
        <v>-204.35</v>
      </c>
      <c r="H931" s="70">
        <v>4.43</v>
      </c>
      <c r="I931" s="70">
        <v>-103.83</v>
      </c>
      <c r="J931" s="70">
        <v>0.24</v>
      </c>
      <c r="K931" s="70">
        <v>-90.89</v>
      </c>
      <c r="L931" s="70">
        <v>1.91</v>
      </c>
      <c r="M931" s="68">
        <f t="shared" si="14"/>
        <v>204.35</v>
      </c>
    </row>
    <row r="932" spans="1:13" x14ac:dyDescent="0.25">
      <c r="A932" s="70">
        <v>1933</v>
      </c>
      <c r="B932" s="70" t="s">
        <v>229</v>
      </c>
      <c r="C932" s="70">
        <v>0</v>
      </c>
      <c r="D932" s="70" t="s">
        <v>1346</v>
      </c>
      <c r="E932" s="70">
        <v>0</v>
      </c>
      <c r="F932" s="70"/>
      <c r="G932" s="70">
        <v>-211.08</v>
      </c>
      <c r="H932" s="70">
        <v>4.4400000000000004</v>
      </c>
      <c r="I932" s="70">
        <v>-104.13</v>
      </c>
      <c r="J932" s="70">
        <v>0.24</v>
      </c>
      <c r="K932" s="70">
        <v>-91.04</v>
      </c>
      <c r="L932" s="70">
        <v>1.91</v>
      </c>
      <c r="M932" s="68">
        <f t="shared" si="14"/>
        <v>211.08</v>
      </c>
    </row>
    <row r="933" spans="1:13" x14ac:dyDescent="0.25">
      <c r="A933" s="70">
        <v>2347</v>
      </c>
      <c r="B933" s="70" t="s">
        <v>229</v>
      </c>
      <c r="C933" s="70">
        <v>0</v>
      </c>
      <c r="D933" s="70" t="s">
        <v>1778</v>
      </c>
      <c r="E933" s="70">
        <v>0</v>
      </c>
      <c r="F933" s="70"/>
      <c r="G933" s="70">
        <v>-210.72</v>
      </c>
      <c r="H933" s="70">
        <v>4.43</v>
      </c>
      <c r="I933" s="70">
        <v>-104.15</v>
      </c>
      <c r="J933" s="70">
        <v>0.24</v>
      </c>
      <c r="K933" s="70">
        <v>-91.05</v>
      </c>
      <c r="L933" s="70">
        <v>1.91</v>
      </c>
      <c r="M933" s="68">
        <f t="shared" si="14"/>
        <v>210.72</v>
      </c>
    </row>
    <row r="934" spans="1:13" x14ac:dyDescent="0.25">
      <c r="A934" s="70">
        <v>1864</v>
      </c>
      <c r="B934" s="70" t="s">
        <v>229</v>
      </c>
      <c r="C934" s="70">
        <v>0</v>
      </c>
      <c r="D934" s="70" t="s">
        <v>1274</v>
      </c>
      <c r="E934" s="70">
        <v>0</v>
      </c>
      <c r="F934" s="70"/>
      <c r="G934" s="70">
        <v>-217.58</v>
      </c>
      <c r="H934" s="70">
        <v>4.4400000000000004</v>
      </c>
      <c r="I934" s="70">
        <v>-104.45</v>
      </c>
      <c r="J934" s="70">
        <v>0.24</v>
      </c>
      <c r="K934" s="70">
        <v>-91.2</v>
      </c>
      <c r="L934" s="70">
        <v>1.91</v>
      </c>
      <c r="M934" s="68">
        <f t="shared" si="14"/>
        <v>217.58</v>
      </c>
    </row>
    <row r="935" spans="1:13" x14ac:dyDescent="0.25">
      <c r="A935" s="70">
        <v>2416</v>
      </c>
      <c r="B935" s="70" t="s">
        <v>229</v>
      </c>
      <c r="C935" s="70">
        <v>0</v>
      </c>
      <c r="D935" s="70" t="s">
        <v>1850</v>
      </c>
      <c r="E935" s="70">
        <v>0</v>
      </c>
      <c r="F935" s="70"/>
      <c r="G935" s="70">
        <v>-217.09</v>
      </c>
      <c r="H935" s="70">
        <v>4.43</v>
      </c>
      <c r="I935" s="70">
        <v>-104.48</v>
      </c>
      <c r="J935" s="70">
        <v>0.24</v>
      </c>
      <c r="K935" s="70">
        <v>-91.22</v>
      </c>
      <c r="L935" s="70">
        <v>1.91</v>
      </c>
      <c r="M935" s="68">
        <f t="shared" si="14"/>
        <v>217.09</v>
      </c>
    </row>
    <row r="936" spans="1:13" x14ac:dyDescent="0.25">
      <c r="A936" s="70">
        <v>1795</v>
      </c>
      <c r="B936" s="70" t="s">
        <v>229</v>
      </c>
      <c r="C936" s="70">
        <v>0</v>
      </c>
      <c r="D936" s="70" t="s">
        <v>1202</v>
      </c>
      <c r="E936" s="70">
        <v>0</v>
      </c>
      <c r="F936" s="70"/>
      <c r="G936" s="70">
        <v>-224.08</v>
      </c>
      <c r="H936" s="70">
        <v>4.4400000000000004</v>
      </c>
      <c r="I936" s="70">
        <v>-104.77</v>
      </c>
      <c r="J936" s="70">
        <v>0.24</v>
      </c>
      <c r="K936" s="70">
        <v>-91.36</v>
      </c>
      <c r="L936" s="70">
        <v>1.91</v>
      </c>
      <c r="M936" s="68">
        <f t="shared" si="14"/>
        <v>224.08</v>
      </c>
    </row>
    <row r="937" spans="1:13" ht="15.75" thickBot="1" x14ac:dyDescent="0.3">
      <c r="A937" s="73">
        <v>2485</v>
      </c>
      <c r="B937" s="73" t="s">
        <v>229</v>
      </c>
      <c r="C937" s="73">
        <v>0</v>
      </c>
      <c r="D937" s="73" t="s">
        <v>1922</v>
      </c>
      <c r="E937" s="73">
        <v>0</v>
      </c>
      <c r="F937" s="73"/>
      <c r="G937" s="73">
        <v>-223.46</v>
      </c>
      <c r="H937" s="73">
        <v>4.43</v>
      </c>
      <c r="I937" s="73">
        <v>-104.81</v>
      </c>
      <c r="J937" s="73">
        <v>0.24</v>
      </c>
      <c r="K937" s="73">
        <v>-91.38</v>
      </c>
      <c r="L937" s="73">
        <v>1.91</v>
      </c>
      <c r="M937" s="68">
        <f t="shared" si="14"/>
        <v>223.46</v>
      </c>
    </row>
  </sheetData>
  <autoFilter ref="A1:M937" xr:uid="{81E7C13A-521A-45D1-98BD-A639B3488B2B}">
    <sortState xmlns:xlrd2="http://schemas.microsoft.com/office/spreadsheetml/2017/richdata2" ref="A2:M937">
      <sortCondition descending="1" ref="I1:I937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6703-E0C9-4990-9CBF-F8B9EBDF57E2}">
  <sheetPr codeName="Sheet6"/>
  <dimension ref="A1:X130"/>
  <sheetViews>
    <sheetView topLeftCell="A85" zoomScale="85" zoomScaleNormal="85" workbookViewId="0">
      <selection activeCell="T35" sqref="T35"/>
    </sheetView>
  </sheetViews>
  <sheetFormatPr defaultRowHeight="15" x14ac:dyDescent="0.25"/>
  <cols>
    <col min="1" max="1" width="9.7109375" customWidth="1"/>
    <col min="5" max="5" width="9.140625" style="50" customWidth="1"/>
    <col min="6" max="6" width="7.28515625" style="49" customWidth="1"/>
    <col min="8" max="8" width="7.28515625" style="49" customWidth="1"/>
    <col min="10" max="10" width="9.140625" customWidth="1"/>
    <col min="11" max="11" width="7.28515625" customWidth="1"/>
    <col min="13" max="13" width="7.28515625" customWidth="1"/>
    <col min="16" max="16" width="7.28515625" style="49" customWidth="1"/>
    <col min="18" max="18" width="7.28515625" customWidth="1"/>
    <col min="20" max="21" width="12.140625" customWidth="1"/>
    <col min="22" max="22" width="6.5703125" customWidth="1"/>
    <col min="23" max="24" width="12.140625" customWidth="1"/>
  </cols>
  <sheetData>
    <row r="1" spans="1:13" x14ac:dyDescent="0.25">
      <c r="B1" t="s">
        <v>2081</v>
      </c>
    </row>
    <row r="3" spans="1:13" x14ac:dyDescent="0.25">
      <c r="A3" t="s">
        <v>155</v>
      </c>
    </row>
    <row r="4" spans="1:13" x14ac:dyDescent="0.25">
      <c r="A4">
        <v>1</v>
      </c>
      <c r="B4" t="s">
        <v>158</v>
      </c>
    </row>
    <row r="5" spans="1:13" x14ac:dyDescent="0.25">
      <c r="B5" t="s">
        <v>173</v>
      </c>
      <c r="E5" s="50" t="s">
        <v>156</v>
      </c>
      <c r="F5" s="49" t="s">
        <v>52</v>
      </c>
      <c r="G5">
        <v>30</v>
      </c>
      <c r="H5" s="54" t="s">
        <v>110</v>
      </c>
    </row>
    <row r="6" spans="1:13" x14ac:dyDescent="0.25">
      <c r="B6" t="s">
        <v>172</v>
      </c>
      <c r="E6" s="50" t="s">
        <v>157</v>
      </c>
      <c r="F6" s="49" t="s">
        <v>52</v>
      </c>
      <c r="G6">
        <v>390</v>
      </c>
      <c r="H6" s="54" t="s">
        <v>110</v>
      </c>
    </row>
    <row r="7" spans="1:13" x14ac:dyDescent="0.25">
      <c r="E7" s="50" t="s">
        <v>174</v>
      </c>
      <c r="F7" s="49" t="s">
        <v>52</v>
      </c>
      <c r="G7">
        <v>200000</v>
      </c>
      <c r="H7" s="54" t="s">
        <v>110</v>
      </c>
    </row>
    <row r="8" spans="1:13" x14ac:dyDescent="0.25">
      <c r="B8" t="s">
        <v>159</v>
      </c>
      <c r="E8" s="50" t="s">
        <v>79</v>
      </c>
      <c r="F8" s="49" t="s">
        <v>52</v>
      </c>
      <c r="G8">
        <v>776</v>
      </c>
      <c r="H8" s="54" t="s">
        <v>63</v>
      </c>
    </row>
    <row r="9" spans="1:13" x14ac:dyDescent="0.25">
      <c r="B9" t="s">
        <v>160</v>
      </c>
      <c r="E9" s="50" t="s">
        <v>161</v>
      </c>
      <c r="F9" s="49" t="s">
        <v>52</v>
      </c>
      <c r="G9">
        <v>350</v>
      </c>
      <c r="H9" s="54" t="s">
        <v>63</v>
      </c>
    </row>
    <row r="10" spans="1:13" x14ac:dyDescent="0.25">
      <c r="B10" t="s">
        <v>162</v>
      </c>
      <c r="E10" s="50" t="s">
        <v>164</v>
      </c>
      <c r="F10" s="49" t="s">
        <v>52</v>
      </c>
      <c r="G10">
        <v>22</v>
      </c>
      <c r="H10" s="54" t="s">
        <v>63</v>
      </c>
    </row>
    <row r="11" spans="1:13" x14ac:dyDescent="0.25">
      <c r="B11" t="s">
        <v>167</v>
      </c>
      <c r="E11" s="50" t="s">
        <v>170</v>
      </c>
      <c r="F11" s="49" t="s">
        <v>52</v>
      </c>
      <c r="G11">
        <v>7</v>
      </c>
      <c r="H11" s="54" t="s">
        <v>168</v>
      </c>
    </row>
    <row r="12" spans="1:13" x14ac:dyDescent="0.25">
      <c r="B12" t="s">
        <v>166</v>
      </c>
      <c r="E12" s="50" t="s">
        <v>165</v>
      </c>
      <c r="F12" s="49" t="s">
        <v>52</v>
      </c>
      <c r="G12">
        <v>16</v>
      </c>
      <c r="H12" s="54" t="s">
        <v>63</v>
      </c>
      <c r="J12" s="50" t="s">
        <v>210</v>
      </c>
      <c r="K12" s="49" t="s">
        <v>52</v>
      </c>
      <c r="L12">
        <f>G8*G9</f>
        <v>271600</v>
      </c>
      <c r="M12" t="s">
        <v>176</v>
      </c>
    </row>
    <row r="13" spans="1:13" x14ac:dyDescent="0.25">
      <c r="B13" t="s">
        <v>169</v>
      </c>
      <c r="E13" s="50" t="s">
        <v>171</v>
      </c>
      <c r="F13" s="49" t="s">
        <v>52</v>
      </c>
      <c r="G13">
        <v>7</v>
      </c>
      <c r="H13" s="54" t="s">
        <v>168</v>
      </c>
      <c r="J13" s="50" t="s">
        <v>175</v>
      </c>
      <c r="K13" s="49" t="s">
        <v>52</v>
      </c>
      <c r="L13" s="51">
        <f>0.25*PI()*G10^2*G11</f>
        <v>2660.928977590555</v>
      </c>
      <c r="M13" t="s">
        <v>176</v>
      </c>
    </row>
    <row r="14" spans="1:13" x14ac:dyDescent="0.25">
      <c r="H14" s="54"/>
      <c r="J14" s="50" t="s">
        <v>177</v>
      </c>
      <c r="K14" s="49" t="s">
        <v>52</v>
      </c>
      <c r="L14" s="51">
        <f>0.25*PI()*G12^2*G13</f>
        <v>1407.4335088082273</v>
      </c>
      <c r="M14" t="s">
        <v>176</v>
      </c>
    </row>
    <row r="15" spans="1:13" x14ac:dyDescent="0.25">
      <c r="A15">
        <v>2</v>
      </c>
      <c r="B15" t="s">
        <v>181</v>
      </c>
      <c r="H15" s="54"/>
      <c r="J15" s="50" t="s">
        <v>178</v>
      </c>
      <c r="K15" s="49" t="s">
        <v>52</v>
      </c>
      <c r="L15">
        <v>8928</v>
      </c>
      <c r="M15" t="s">
        <v>176</v>
      </c>
    </row>
    <row r="16" spans="1:13" x14ac:dyDescent="0.25">
      <c r="E16" s="50" t="s">
        <v>157</v>
      </c>
      <c r="F16" s="49" t="s">
        <v>52</v>
      </c>
      <c r="G16">
        <v>245</v>
      </c>
      <c r="H16" s="54" t="s">
        <v>110</v>
      </c>
      <c r="J16" s="50" t="s">
        <v>188</v>
      </c>
      <c r="K16" s="49" t="s">
        <v>52</v>
      </c>
      <c r="L16" s="51">
        <f>SUM(L13:L15)</f>
        <v>12996.362486398782</v>
      </c>
      <c r="M16" t="s">
        <v>176</v>
      </c>
    </row>
    <row r="17" spans="1:24" x14ac:dyDescent="0.25">
      <c r="E17" s="50" t="s">
        <v>174</v>
      </c>
      <c r="F17" s="49" t="s">
        <v>52</v>
      </c>
      <c r="G17">
        <v>200000</v>
      </c>
      <c r="H17" s="54" t="s">
        <v>110</v>
      </c>
    </row>
    <row r="18" spans="1:24" x14ac:dyDescent="0.25">
      <c r="B18" t="s">
        <v>4</v>
      </c>
      <c r="E18" s="50" t="s">
        <v>182</v>
      </c>
      <c r="F18" s="49" t="s">
        <v>52</v>
      </c>
      <c r="G18">
        <v>9</v>
      </c>
      <c r="H18" s="54" t="s">
        <v>63</v>
      </c>
      <c r="J18" s="159" t="s">
        <v>193</v>
      </c>
      <c r="K18" s="159"/>
      <c r="L18" s="159"/>
      <c r="M18" s="159"/>
      <c r="O18" s="159" t="s">
        <v>216</v>
      </c>
      <c r="P18" s="159"/>
      <c r="Q18" s="159"/>
      <c r="R18" s="159"/>
    </row>
    <row r="19" spans="1:24" x14ac:dyDescent="0.25">
      <c r="H19" s="54"/>
      <c r="J19" s="50" t="s">
        <v>163</v>
      </c>
      <c r="K19" s="49" t="s">
        <v>52</v>
      </c>
      <c r="L19">
        <v>61</v>
      </c>
      <c r="M19" t="s">
        <v>63</v>
      </c>
      <c r="O19" s="50" t="s">
        <v>1088</v>
      </c>
      <c r="P19" s="52" t="s">
        <v>52</v>
      </c>
      <c r="Q19">
        <f>G9-L19</f>
        <v>289</v>
      </c>
      <c r="R19" t="s">
        <v>63</v>
      </c>
    </row>
    <row r="20" spans="1:24" x14ac:dyDescent="0.25">
      <c r="A20" t="s">
        <v>184</v>
      </c>
      <c r="E20" s="50" t="s">
        <v>185</v>
      </c>
      <c r="F20" s="49" t="s">
        <v>52</v>
      </c>
      <c r="G20">
        <v>0.85</v>
      </c>
      <c r="H20" s="54" t="s">
        <v>186</v>
      </c>
      <c r="J20" s="50" t="s">
        <v>179</v>
      </c>
      <c r="K20" s="49" t="s">
        <v>52</v>
      </c>
      <c r="L20">
        <v>232</v>
      </c>
      <c r="M20" t="s">
        <v>63</v>
      </c>
      <c r="O20" s="50" t="s">
        <v>1089</v>
      </c>
      <c r="P20" s="52" t="s">
        <v>52</v>
      </c>
      <c r="Q20">
        <f>G9-L20</f>
        <v>118</v>
      </c>
      <c r="R20" t="s">
        <v>63</v>
      </c>
    </row>
    <row r="21" spans="1:24" x14ac:dyDescent="0.25">
      <c r="A21" t="s">
        <v>212</v>
      </c>
      <c r="E21" s="50" t="s">
        <v>187</v>
      </c>
      <c r="F21" s="49" t="s">
        <v>52</v>
      </c>
      <c r="G21">
        <v>3.0000000000000001E-3</v>
      </c>
      <c r="H21" s="54"/>
      <c r="J21" s="50" t="s">
        <v>180</v>
      </c>
      <c r="K21" s="49" t="s">
        <v>52</v>
      </c>
      <c r="L21">
        <v>350</v>
      </c>
      <c r="M21" t="s">
        <v>63</v>
      </c>
      <c r="O21" s="50" t="s">
        <v>1090</v>
      </c>
      <c r="P21" s="52" t="s">
        <v>52</v>
      </c>
      <c r="Q21">
        <f>G9-L21</f>
        <v>0</v>
      </c>
      <c r="R21" t="s">
        <v>63</v>
      </c>
    </row>
    <row r="22" spans="1:24" x14ac:dyDescent="0.25">
      <c r="H22" s="54"/>
    </row>
    <row r="23" spans="1:24" x14ac:dyDescent="0.25">
      <c r="A23" t="s">
        <v>183</v>
      </c>
      <c r="E23" s="50" t="s">
        <v>189</v>
      </c>
      <c r="F23" s="49" t="s">
        <v>52</v>
      </c>
      <c r="G23">
        <f>SQRT(G5)/(4*G6)*G8*G9</f>
        <v>953.59901678463541</v>
      </c>
      <c r="H23" s="54" t="s">
        <v>176</v>
      </c>
      <c r="I23" t="str">
        <f>IF(L16&lt;G23,"Tidak OK!","OK!")</f>
        <v>OK!</v>
      </c>
    </row>
    <row r="24" spans="1:24" x14ac:dyDescent="0.25">
      <c r="E24" s="50" t="s">
        <v>190</v>
      </c>
      <c r="F24" s="49" t="s">
        <v>52</v>
      </c>
      <c r="G24">
        <f>1.4/G6*G8*G9</f>
        <v>974.97435897435889</v>
      </c>
      <c r="H24" s="54" t="s">
        <v>176</v>
      </c>
      <c r="I24" t="str">
        <f>IF(L16&lt;G24,"Tidak OK!","OK!")</f>
        <v>OK!</v>
      </c>
    </row>
    <row r="25" spans="1:24" x14ac:dyDescent="0.25">
      <c r="H25" s="54"/>
    </row>
    <row r="26" spans="1:24" x14ac:dyDescent="0.25">
      <c r="A26" t="s">
        <v>191</v>
      </c>
      <c r="E26" s="50" t="s">
        <v>192</v>
      </c>
      <c r="F26" s="49" t="s">
        <v>52</v>
      </c>
      <c r="G26">
        <f>L16/(G8*G9)</f>
        <v>4.7851113720172249E-2</v>
      </c>
      <c r="H26" s="54"/>
    </row>
    <row r="27" spans="1:24" x14ac:dyDescent="0.25">
      <c r="H27" s="54"/>
    </row>
    <row r="28" spans="1:24" x14ac:dyDescent="0.25">
      <c r="A28" t="s">
        <v>199</v>
      </c>
      <c r="D28" t="s">
        <v>200</v>
      </c>
      <c r="E28" s="50" t="s">
        <v>201</v>
      </c>
      <c r="F28" s="49" t="s">
        <v>52</v>
      </c>
      <c r="G28">
        <v>0.8</v>
      </c>
      <c r="H28" s="54"/>
    </row>
    <row r="29" spans="1:24" x14ac:dyDescent="0.25">
      <c r="D29" t="s">
        <v>202</v>
      </c>
      <c r="E29" s="50" t="s">
        <v>201</v>
      </c>
      <c r="F29" s="49" t="s">
        <v>52</v>
      </c>
      <c r="G29">
        <v>0.65</v>
      </c>
      <c r="H29" s="54" t="s">
        <v>203</v>
      </c>
      <c r="X29" t="s">
        <v>2033</v>
      </c>
    </row>
    <row r="30" spans="1:24" s="64" customFormat="1" x14ac:dyDescent="0.25">
      <c r="E30" s="50"/>
      <c r="F30" s="52"/>
      <c r="H30" s="54"/>
      <c r="P30" s="52"/>
      <c r="R30" s="64" t="s">
        <v>2032</v>
      </c>
      <c r="S30" s="56" t="s">
        <v>52</v>
      </c>
      <c r="T30" s="64">
        <f>0.1*$G$5*$L$12/1000</f>
        <v>814.8</v>
      </c>
      <c r="U30" s="64" t="s">
        <v>89</v>
      </c>
      <c r="X30" s="53">
        <f>(L14*G6*(L20-(L14*G6/(G20*G5*G8))/2)+L15*G16*(L21--(L15*G16/(G20*G5*G8))/2))/10^6*G28</f>
        <v>804.96217121054906</v>
      </c>
    </row>
    <row r="31" spans="1:24" s="64" customFormat="1" x14ac:dyDescent="0.25">
      <c r="E31" s="50"/>
      <c r="F31" s="52"/>
      <c r="H31" s="54"/>
      <c r="P31" s="52"/>
    </row>
    <row r="32" spans="1:24" x14ac:dyDescent="0.25">
      <c r="A32" s="64" t="s">
        <v>2079</v>
      </c>
    </row>
    <row r="33" spans="1:24" x14ac:dyDescent="0.25">
      <c r="A33" s="160" t="s">
        <v>193</v>
      </c>
      <c r="B33" s="156" t="s">
        <v>173</v>
      </c>
      <c r="C33" s="156"/>
      <c r="D33" s="156"/>
      <c r="E33" s="156" t="s">
        <v>1092</v>
      </c>
      <c r="F33" s="156"/>
      <c r="G33" s="156"/>
      <c r="H33" s="156"/>
      <c r="I33" s="156"/>
      <c r="J33" s="156" t="s">
        <v>1091</v>
      </c>
      <c r="K33" s="156"/>
      <c r="L33" s="156"/>
      <c r="M33" s="156"/>
      <c r="N33" s="156"/>
      <c r="O33" s="156" t="s">
        <v>1093</v>
      </c>
      <c r="P33" s="156"/>
      <c r="Q33" s="156"/>
      <c r="R33" s="156"/>
      <c r="S33" s="156"/>
      <c r="T33" s="156" t="s">
        <v>2034</v>
      </c>
      <c r="U33" s="156"/>
      <c r="V33" s="158" t="s">
        <v>201</v>
      </c>
      <c r="W33" s="156" t="s">
        <v>2035</v>
      </c>
      <c r="X33" s="156"/>
    </row>
    <row r="34" spans="1:24" x14ac:dyDescent="0.25">
      <c r="A34" s="160"/>
      <c r="B34" s="48" t="s">
        <v>194</v>
      </c>
      <c r="C34" s="48" t="s">
        <v>195</v>
      </c>
      <c r="D34" s="48" t="s">
        <v>196</v>
      </c>
      <c r="E34" s="48" t="s">
        <v>197</v>
      </c>
      <c r="F34" s="48" t="s">
        <v>213</v>
      </c>
      <c r="G34" s="48" t="s">
        <v>214</v>
      </c>
      <c r="H34" s="48" t="s">
        <v>198</v>
      </c>
      <c r="I34" s="48" t="s">
        <v>204</v>
      </c>
      <c r="J34" s="48" t="s">
        <v>197</v>
      </c>
      <c r="K34" s="48" t="s">
        <v>213</v>
      </c>
      <c r="L34" s="48" t="s">
        <v>214</v>
      </c>
      <c r="M34" s="48" t="s">
        <v>198</v>
      </c>
      <c r="N34" s="48" t="s">
        <v>205</v>
      </c>
      <c r="O34" s="48" t="s">
        <v>197</v>
      </c>
      <c r="P34" s="48" t="s">
        <v>213</v>
      </c>
      <c r="Q34" s="48" t="s">
        <v>214</v>
      </c>
      <c r="R34" s="48" t="s">
        <v>198</v>
      </c>
      <c r="S34" s="48" t="s">
        <v>206</v>
      </c>
      <c r="T34" s="48" t="s">
        <v>2083</v>
      </c>
      <c r="U34" s="48" t="s">
        <v>2084</v>
      </c>
      <c r="V34" s="158"/>
      <c r="W34" s="55" t="s">
        <v>207</v>
      </c>
      <c r="X34" s="55" t="s">
        <v>208</v>
      </c>
    </row>
    <row r="35" spans="1:24" x14ac:dyDescent="0.25">
      <c r="A35" s="48" t="s">
        <v>209</v>
      </c>
      <c r="B35" s="1"/>
      <c r="C35" s="1"/>
      <c r="D35" s="1"/>
      <c r="E35" s="59"/>
      <c r="F35" s="48"/>
      <c r="G35" s="1"/>
      <c r="H35" s="48"/>
      <c r="I35" s="3"/>
      <c r="J35" s="1"/>
      <c r="K35" s="1"/>
      <c r="L35" s="1"/>
      <c r="M35" s="1"/>
      <c r="N35" s="1"/>
      <c r="O35" s="1"/>
      <c r="P35" s="48"/>
      <c r="Q35" s="1"/>
      <c r="R35" s="1"/>
      <c r="S35" s="1"/>
      <c r="T35" s="3">
        <f>0.8*($G$20*$G$5*($L$12-($L$13+$L$14))+$G$6*($L$13+$L$14)+$G$16*$L$15)/1000</f>
        <v>8476.8625010338856</v>
      </c>
      <c r="U35" s="1">
        <v>0</v>
      </c>
      <c r="V35" s="1">
        <f>$G$29</f>
        <v>0.65</v>
      </c>
      <c r="W35" s="3">
        <f>T35*V35</f>
        <v>5509.9606256720263</v>
      </c>
      <c r="X35" s="1">
        <f>U35*V35</f>
        <v>0</v>
      </c>
    </row>
    <row r="36" spans="1:24" x14ac:dyDescent="0.25">
      <c r="A36" s="1">
        <v>20</v>
      </c>
      <c r="B36" s="3">
        <f t="shared" ref="B36:B54" si="0">$B$56+(A36/20*($G$9-$B$56))</f>
        <v>350</v>
      </c>
      <c r="C36" s="3">
        <f t="shared" ref="C36:C54" si="1">$G$20*B36</f>
        <v>297.5</v>
      </c>
      <c r="D36" s="1">
        <f t="shared" ref="D36:D54" si="2">0.85*$G$5*C36*$G$8/1000</f>
        <v>5886.93</v>
      </c>
      <c r="E36" s="59">
        <f t="shared" ref="E36:E67" si="3">ABS(B36-$L$19)/B36*$G$21</f>
        <v>2.4771428571428574E-3</v>
      </c>
      <c r="F36" s="48" t="str">
        <f t="shared" ref="F36:F54" si="4">IF(E36&lt;$G$6/$G$7,"Belum","Sudah")</f>
        <v>Sudah</v>
      </c>
      <c r="G36" s="1">
        <f t="shared" ref="G36:G54" si="5">IF(F36="Sudah",$G$6,E36*$G$7)</f>
        <v>390</v>
      </c>
      <c r="H36" s="48" t="str">
        <f t="shared" ref="H36:H67" si="6">IF(B36&gt;$L$19,"Tekan","Tarik")</f>
        <v>Tekan</v>
      </c>
      <c r="I36" s="3">
        <f t="shared" ref="I36:I54" si="7">$L$13*(G36-$G$20*$G$5)/1000*IF(H36="Tarik",-1,1)</f>
        <v>969.90861233175735</v>
      </c>
      <c r="J36" s="59">
        <f t="shared" ref="J36:J67" si="8">ABS(B36-$L$20)/B36*$G$21</f>
        <v>1.0114285714285713E-3</v>
      </c>
      <c r="K36" s="48" t="str">
        <f t="shared" ref="K36:K54" si="9">IF(J36&lt;$G$6/$G$7,"Belum","Sudah")</f>
        <v>Belum</v>
      </c>
      <c r="L36" s="1">
        <f t="shared" ref="L36:L54" si="10">IF(K36="Sudah",$G$6,J36*$G$7)</f>
        <v>202.28571428571428</v>
      </c>
      <c r="M36" s="48" t="str">
        <f t="shared" ref="M36:M67" si="11">IF(B36&gt;$L$20,"Tekan","Tarik")</f>
        <v>Tekan</v>
      </c>
      <c r="N36" s="3">
        <f t="shared" ref="N36:N54" si="12">$L$14*L36/1000*IF(M36="Tarik",-1,1)</f>
        <v>284.70369263892138</v>
      </c>
      <c r="O36" s="59">
        <f>ABS(B36-$L$21)/B36*$G$21</f>
        <v>0</v>
      </c>
      <c r="P36" s="48" t="str">
        <f>IF(O36&lt;$G$16/$G$17,"Belum","Sudah")</f>
        <v>Belum</v>
      </c>
      <c r="Q36" s="1">
        <f t="shared" ref="Q36:Q54" si="13">IF(P36="Sudah",$G$16,O36*$G$17)</f>
        <v>0</v>
      </c>
      <c r="R36" s="48" t="str">
        <f t="shared" ref="R36:R67" si="14">IF(B36&gt;$L$21,"Tekan","Tarik")</f>
        <v>Tarik</v>
      </c>
      <c r="S36" s="3">
        <f t="shared" ref="S36:S54" si="15">$L$15*Q36/1000*IF(R36="Tarik",-1,1)</f>
        <v>0</v>
      </c>
      <c r="T36" s="3">
        <f>(D36+I36+N36+S36)</f>
        <v>7141.5423049706787</v>
      </c>
      <c r="U36" s="60">
        <f>(D36*($G$9/2-C36/2)+I36*($G$9/2-$L$19)-N36*ABS($G$9/2-$L$20)-S36*ABS($G$9/2-$L$21))/1000</f>
        <v>248.87338382540182</v>
      </c>
      <c r="V36" s="1">
        <f>IF(O36&lt;0.002,$G$29,IF(O36&gt;0.005,0.9,0.65+(O36-0.002)*(250/3)))</f>
        <v>0.65</v>
      </c>
      <c r="W36" s="3">
        <f t="shared" ref="W36:W76" si="16">T36*V36</f>
        <v>4642.0024982309415</v>
      </c>
      <c r="X36" s="3">
        <f>U36*V36</f>
        <v>161.76769948651119</v>
      </c>
    </row>
    <row r="37" spans="1:24" x14ac:dyDescent="0.25">
      <c r="A37" s="1">
        <v>19</v>
      </c>
      <c r="B37" s="3">
        <f t="shared" si="0"/>
        <v>343.10606060606062</v>
      </c>
      <c r="C37" s="3">
        <f t="shared" si="1"/>
        <v>291.6401515151515</v>
      </c>
      <c r="D37" s="1">
        <f t="shared" si="2"/>
        <v>5770.9753181818178</v>
      </c>
      <c r="E37" s="59">
        <f t="shared" si="3"/>
        <v>2.4666372267608742E-3</v>
      </c>
      <c r="F37" s="48" t="str">
        <f t="shared" si="4"/>
        <v>Sudah</v>
      </c>
      <c r="G37" s="1">
        <f t="shared" si="5"/>
        <v>390</v>
      </c>
      <c r="H37" s="48" t="str">
        <f t="shared" si="6"/>
        <v>Tekan</v>
      </c>
      <c r="I37" s="3">
        <f t="shared" si="7"/>
        <v>969.90861233175735</v>
      </c>
      <c r="J37" s="59">
        <f t="shared" si="8"/>
        <v>9.7147273128725994E-4</v>
      </c>
      <c r="K37" s="48" t="str">
        <f t="shared" si="9"/>
        <v>Belum</v>
      </c>
      <c r="L37" s="1">
        <f t="shared" si="10"/>
        <v>194.294546257452</v>
      </c>
      <c r="M37" s="48" t="str">
        <f t="shared" si="11"/>
        <v>Tekan</v>
      </c>
      <c r="N37" s="3">
        <f t="shared" si="12"/>
        <v>273.45665498142813</v>
      </c>
      <c r="O37" s="59">
        <f t="shared" ref="O37:O67" si="17">ABS(B37-$L$21)/B37*$G$21</f>
        <v>6.0278207109737097E-5</v>
      </c>
      <c r="P37" s="48" t="str">
        <f t="shared" ref="P37:P67" si="18">IF(O37&lt;$G$16/$G$17,"Belum","Sudah")</f>
        <v>Belum</v>
      </c>
      <c r="Q37" s="1">
        <f t="shared" si="13"/>
        <v>12.055641421947419</v>
      </c>
      <c r="R37" s="48" t="str">
        <f t="shared" si="14"/>
        <v>Tarik</v>
      </c>
      <c r="S37" s="3">
        <f t="shared" si="15"/>
        <v>-107.63276661514655</v>
      </c>
      <c r="T37" s="3">
        <f t="shared" ref="T37:T76" si="19">(D37+I37+N37+S37)</f>
        <v>6906.7078188798569</v>
      </c>
      <c r="U37" s="60">
        <f t="shared" ref="U37:U76" si="20">(D37*($G$9/2-C37/2)+I37*($G$9/2-$L$19)-N37*ABS($G$9/2-$L$20)-S37*ABS($G$9/2-$L$21))/1000</f>
        <v>282.21490921897521</v>
      </c>
      <c r="V37" s="1">
        <f t="shared" ref="V37:V76" si="21">IF(O37&lt;0.002,$G$29,IF(O37&gt;0.005,0.9,0.65+(O37-0.002)*(250/3)))</f>
        <v>0.65</v>
      </c>
      <c r="W37" s="3">
        <f t="shared" si="16"/>
        <v>4489.3600822719072</v>
      </c>
      <c r="X37" s="3">
        <f t="shared" ref="X37:X76" si="22">U37*V37</f>
        <v>183.43969099233388</v>
      </c>
    </row>
    <row r="38" spans="1:24" x14ac:dyDescent="0.25">
      <c r="A38" s="1">
        <v>18</v>
      </c>
      <c r="B38" s="3">
        <f t="shared" si="0"/>
        <v>336.21212121212125</v>
      </c>
      <c r="C38" s="3">
        <f t="shared" si="1"/>
        <v>285.78030303030306</v>
      </c>
      <c r="D38" s="1">
        <f t="shared" si="2"/>
        <v>5655.0206363636371</v>
      </c>
      <c r="E38" s="59">
        <f t="shared" si="3"/>
        <v>2.4557007661108608E-3</v>
      </c>
      <c r="F38" s="48" t="str">
        <f t="shared" si="4"/>
        <v>Sudah</v>
      </c>
      <c r="G38" s="1">
        <f t="shared" si="5"/>
        <v>390</v>
      </c>
      <c r="H38" s="48" t="str">
        <f t="shared" si="6"/>
        <v>Tekan</v>
      </c>
      <c r="I38" s="3">
        <f t="shared" si="7"/>
        <v>969.90861233175735</v>
      </c>
      <c r="J38" s="59">
        <f t="shared" si="8"/>
        <v>9.2987832356917555E-4</v>
      </c>
      <c r="K38" s="48" t="str">
        <f t="shared" si="9"/>
        <v>Belum</v>
      </c>
      <c r="L38" s="1">
        <f t="shared" si="10"/>
        <v>185.9756647138351</v>
      </c>
      <c r="M38" s="48" t="str">
        <f t="shared" si="11"/>
        <v>Tekan</v>
      </c>
      <c r="N38" s="3">
        <f t="shared" si="12"/>
        <v>261.74838234113537</v>
      </c>
      <c r="O38" s="59">
        <f t="shared" si="17"/>
        <v>1.230283911671921E-4</v>
      </c>
      <c r="P38" s="48" t="str">
        <f t="shared" si="18"/>
        <v>Belum</v>
      </c>
      <c r="Q38" s="1">
        <f t="shared" si="13"/>
        <v>24.605678233438422</v>
      </c>
      <c r="R38" s="48" t="str">
        <f t="shared" si="14"/>
        <v>Tarik</v>
      </c>
      <c r="S38" s="3">
        <f t="shared" si="15"/>
        <v>-219.67949526813825</v>
      </c>
      <c r="T38" s="3">
        <f t="shared" si="19"/>
        <v>6666.9981357683919</v>
      </c>
      <c r="U38" s="60">
        <f t="shared" si="20"/>
        <v>315.67569149662756</v>
      </c>
      <c r="V38" s="1">
        <f t="shared" si="21"/>
        <v>0.65</v>
      </c>
      <c r="W38" s="3">
        <f t="shared" si="16"/>
        <v>4333.5487882494544</v>
      </c>
      <c r="X38" s="3">
        <f t="shared" si="22"/>
        <v>205.18919947280793</v>
      </c>
    </row>
    <row r="39" spans="1:24" x14ac:dyDescent="0.25">
      <c r="A39" s="1">
        <v>17</v>
      </c>
      <c r="B39" s="3">
        <f t="shared" si="0"/>
        <v>329.31818181818181</v>
      </c>
      <c r="C39" s="3">
        <f t="shared" si="1"/>
        <v>279.92045454545456</v>
      </c>
      <c r="D39" s="1">
        <f t="shared" si="2"/>
        <v>5539.0659545454555</v>
      </c>
      <c r="E39" s="59">
        <f t="shared" si="3"/>
        <v>2.4443064182194619E-3</v>
      </c>
      <c r="F39" s="48" t="str">
        <f t="shared" si="4"/>
        <v>Sudah</v>
      </c>
      <c r="G39" s="1">
        <f t="shared" si="5"/>
        <v>390</v>
      </c>
      <c r="H39" s="48" t="str">
        <f t="shared" si="6"/>
        <v>Tekan</v>
      </c>
      <c r="I39" s="3">
        <f t="shared" si="7"/>
        <v>969.90861233175735</v>
      </c>
      <c r="J39" s="59">
        <f t="shared" si="8"/>
        <v>8.8654244306418217E-4</v>
      </c>
      <c r="K39" s="48" t="str">
        <f t="shared" si="9"/>
        <v>Belum</v>
      </c>
      <c r="L39" s="1">
        <f t="shared" si="10"/>
        <v>177.30848861283644</v>
      </c>
      <c r="M39" s="48" t="str">
        <f t="shared" si="11"/>
        <v>Tekan</v>
      </c>
      <c r="N39" s="3">
        <f t="shared" si="12"/>
        <v>249.549908269848</v>
      </c>
      <c r="O39" s="59">
        <f t="shared" si="17"/>
        <v>1.8840579710144932E-4</v>
      </c>
      <c r="P39" s="48" t="str">
        <f t="shared" si="18"/>
        <v>Belum</v>
      </c>
      <c r="Q39" s="1">
        <f t="shared" si="13"/>
        <v>37.681159420289866</v>
      </c>
      <c r="R39" s="48" t="str">
        <f t="shared" si="14"/>
        <v>Tarik</v>
      </c>
      <c r="S39" s="3">
        <f t="shared" si="15"/>
        <v>-336.41739130434792</v>
      </c>
      <c r="T39" s="3">
        <f t="shared" si="19"/>
        <v>6422.1070838427131</v>
      </c>
      <c r="U39" s="60">
        <f t="shared" si="20"/>
        <v>349.30589268134651</v>
      </c>
      <c r="V39" s="1">
        <f t="shared" si="21"/>
        <v>0.65</v>
      </c>
      <c r="W39" s="3">
        <f t="shared" si="16"/>
        <v>4174.3696044977632</v>
      </c>
      <c r="X39" s="3">
        <f t="shared" si="22"/>
        <v>227.04883024287523</v>
      </c>
    </row>
    <row r="40" spans="1:24" x14ac:dyDescent="0.25">
      <c r="A40" s="1">
        <v>16</v>
      </c>
      <c r="B40" s="3">
        <f t="shared" si="0"/>
        <v>322.42424242424244</v>
      </c>
      <c r="C40" s="3">
        <f t="shared" si="1"/>
        <v>274.06060606060606</v>
      </c>
      <c r="D40" s="1">
        <f t="shared" si="2"/>
        <v>5423.111272727273</v>
      </c>
      <c r="E40" s="59">
        <f t="shared" si="3"/>
        <v>2.432424812030075E-3</v>
      </c>
      <c r="F40" s="48" t="str">
        <f t="shared" si="4"/>
        <v>Sudah</v>
      </c>
      <c r="G40" s="1">
        <f t="shared" si="5"/>
        <v>390</v>
      </c>
      <c r="H40" s="48" t="str">
        <f t="shared" si="6"/>
        <v>Tekan</v>
      </c>
      <c r="I40" s="3">
        <f t="shared" si="7"/>
        <v>969.90861233175735</v>
      </c>
      <c r="J40" s="59">
        <f t="shared" si="8"/>
        <v>8.4135338345864665E-4</v>
      </c>
      <c r="K40" s="48" t="str">
        <f t="shared" si="9"/>
        <v>Belum</v>
      </c>
      <c r="L40" s="1">
        <f t="shared" si="10"/>
        <v>168.27067669172934</v>
      </c>
      <c r="M40" s="48" t="str">
        <f t="shared" si="11"/>
        <v>Tekan</v>
      </c>
      <c r="N40" s="3">
        <f t="shared" si="12"/>
        <v>236.8297889257754</v>
      </c>
      <c r="O40" s="59">
        <f t="shared" si="17"/>
        <v>2.5657894736842094E-4</v>
      </c>
      <c r="P40" s="48" t="str">
        <f t="shared" si="18"/>
        <v>Belum</v>
      </c>
      <c r="Q40" s="1">
        <f t="shared" si="13"/>
        <v>51.315789473684191</v>
      </c>
      <c r="R40" s="48" t="str">
        <f t="shared" si="14"/>
        <v>Tarik</v>
      </c>
      <c r="S40" s="3">
        <f t="shared" si="15"/>
        <v>-458.14736842105248</v>
      </c>
      <c r="T40" s="3">
        <f t="shared" si="19"/>
        <v>6171.7023055637537</v>
      </c>
      <c r="U40" s="60">
        <f t="shared" si="20"/>
        <v>383.15996496913755</v>
      </c>
      <c r="V40" s="1">
        <f t="shared" si="21"/>
        <v>0.65</v>
      </c>
      <c r="W40" s="3">
        <f t="shared" si="16"/>
        <v>4011.6064986164401</v>
      </c>
      <c r="X40" s="3">
        <f t="shared" si="22"/>
        <v>249.05397722993942</v>
      </c>
    </row>
    <row r="41" spans="1:24" x14ac:dyDescent="0.25">
      <c r="A41" s="1">
        <v>15</v>
      </c>
      <c r="B41" s="3">
        <f t="shared" si="0"/>
        <v>315.530303030303</v>
      </c>
      <c r="C41" s="3">
        <f t="shared" si="1"/>
        <v>268.20075757575756</v>
      </c>
      <c r="D41" s="1">
        <f t="shared" si="2"/>
        <v>5307.1565909090905</v>
      </c>
      <c r="E41" s="59">
        <f t="shared" si="3"/>
        <v>2.4200240096038414E-3</v>
      </c>
      <c r="F41" s="48" t="str">
        <f t="shared" si="4"/>
        <v>Sudah</v>
      </c>
      <c r="G41" s="1">
        <f t="shared" si="5"/>
        <v>390</v>
      </c>
      <c r="H41" s="48" t="str">
        <f t="shared" si="6"/>
        <v>Tekan</v>
      </c>
      <c r="I41" s="3">
        <f t="shared" si="7"/>
        <v>969.90861233175735</v>
      </c>
      <c r="J41" s="59">
        <f t="shared" si="8"/>
        <v>7.9418967587034791E-4</v>
      </c>
      <c r="K41" s="48" t="str">
        <f t="shared" si="9"/>
        <v>Belum</v>
      </c>
      <c r="L41" s="1">
        <f t="shared" si="10"/>
        <v>158.83793517406957</v>
      </c>
      <c r="M41" s="48" t="str">
        <f t="shared" si="11"/>
        <v>Tekan</v>
      </c>
      <c r="N41" s="3">
        <f t="shared" si="12"/>
        <v>223.55383243389448</v>
      </c>
      <c r="O41" s="59">
        <f t="shared" si="17"/>
        <v>3.2773109243697506E-4</v>
      </c>
      <c r="P41" s="48" t="str">
        <f t="shared" si="18"/>
        <v>Belum</v>
      </c>
      <c r="Q41" s="1">
        <f t="shared" si="13"/>
        <v>65.546218487395009</v>
      </c>
      <c r="R41" s="48" t="str">
        <f t="shared" si="14"/>
        <v>Tarik</v>
      </c>
      <c r="S41" s="3">
        <f t="shared" si="15"/>
        <v>-585.19663865546261</v>
      </c>
      <c r="T41" s="3">
        <f t="shared" si="19"/>
        <v>5915.4223970192797</v>
      </c>
      <c r="U41" s="60">
        <f t="shared" si="20"/>
        <v>417.29711940338871</v>
      </c>
      <c r="V41" s="1">
        <f t="shared" si="21"/>
        <v>0.65</v>
      </c>
      <c r="W41" s="3">
        <f t="shared" si="16"/>
        <v>3845.0245580625319</v>
      </c>
      <c r="X41" s="3">
        <f t="shared" si="22"/>
        <v>271.24312761220267</v>
      </c>
    </row>
    <row r="42" spans="1:24" x14ac:dyDescent="0.25">
      <c r="A42" s="1">
        <v>14</v>
      </c>
      <c r="B42" s="3">
        <f t="shared" si="0"/>
        <v>308.63636363636363</v>
      </c>
      <c r="C42" s="3">
        <f t="shared" si="1"/>
        <v>262.34090909090907</v>
      </c>
      <c r="D42" s="1">
        <f t="shared" si="2"/>
        <v>5191.201909090908</v>
      </c>
      <c r="E42" s="59">
        <f t="shared" si="3"/>
        <v>2.4070692194403534E-3</v>
      </c>
      <c r="F42" s="48" t="str">
        <f t="shared" si="4"/>
        <v>Sudah</v>
      </c>
      <c r="G42" s="1">
        <f t="shared" si="5"/>
        <v>390</v>
      </c>
      <c r="H42" s="48" t="str">
        <f t="shared" si="6"/>
        <v>Tekan</v>
      </c>
      <c r="I42" s="3">
        <f t="shared" si="7"/>
        <v>969.90861233175735</v>
      </c>
      <c r="J42" s="59">
        <f t="shared" si="8"/>
        <v>7.4491899852724593E-4</v>
      </c>
      <c r="K42" s="48" t="str">
        <f t="shared" si="9"/>
        <v>Belum</v>
      </c>
      <c r="L42" s="1">
        <f t="shared" si="10"/>
        <v>148.98379970544917</v>
      </c>
      <c r="M42" s="48" t="str">
        <f t="shared" si="11"/>
        <v>Tekan</v>
      </c>
      <c r="N42" s="3">
        <f t="shared" si="12"/>
        <v>209.68479197502248</v>
      </c>
      <c r="O42" s="59">
        <f t="shared" si="17"/>
        <v>4.0206185567010324E-4</v>
      </c>
      <c r="P42" s="48" t="str">
        <f t="shared" si="18"/>
        <v>Belum</v>
      </c>
      <c r="Q42" s="1">
        <f t="shared" si="13"/>
        <v>80.412371134020646</v>
      </c>
      <c r="R42" s="48" t="str">
        <f t="shared" si="14"/>
        <v>Tarik</v>
      </c>
      <c r="S42" s="3">
        <f t="shared" si="15"/>
        <v>-717.92164948453637</v>
      </c>
      <c r="T42" s="3">
        <f t="shared" si="19"/>
        <v>5652.8736639131512</v>
      </c>
      <c r="U42" s="60">
        <f t="shared" si="20"/>
        <v>451.78185736126102</v>
      </c>
      <c r="V42" s="1">
        <f t="shared" si="21"/>
        <v>0.65</v>
      </c>
      <c r="W42" s="3">
        <f t="shared" si="16"/>
        <v>3674.3678815435483</v>
      </c>
      <c r="X42" s="3">
        <f t="shared" si="22"/>
        <v>293.6582072848197</v>
      </c>
    </row>
    <row r="43" spans="1:24" x14ac:dyDescent="0.25">
      <c r="A43" s="1">
        <v>13</v>
      </c>
      <c r="B43" s="3">
        <f t="shared" si="0"/>
        <v>301.74242424242425</v>
      </c>
      <c r="C43" s="3">
        <f t="shared" si="1"/>
        <v>256.48106060606062</v>
      </c>
      <c r="D43" s="1">
        <f t="shared" si="2"/>
        <v>5075.2472272727273</v>
      </c>
      <c r="E43" s="59">
        <f t="shared" si="3"/>
        <v>2.3935224704996236E-3</v>
      </c>
      <c r="F43" s="48" t="str">
        <f t="shared" si="4"/>
        <v>Sudah</v>
      </c>
      <c r="G43" s="1">
        <f t="shared" si="5"/>
        <v>390</v>
      </c>
      <c r="H43" s="48" t="str">
        <f t="shared" si="6"/>
        <v>Tekan</v>
      </c>
      <c r="I43" s="3">
        <f t="shared" si="7"/>
        <v>969.90861233175735</v>
      </c>
      <c r="J43" s="59">
        <f t="shared" si="8"/>
        <v>6.9339693698217434E-4</v>
      </c>
      <c r="K43" s="48" t="str">
        <f t="shared" si="9"/>
        <v>Belum</v>
      </c>
      <c r="L43" s="1">
        <f t="shared" si="10"/>
        <v>138.67938739643486</v>
      </c>
      <c r="M43" s="48" t="str">
        <f t="shared" si="11"/>
        <v>Tekan</v>
      </c>
      <c r="N43" s="3">
        <f t="shared" si="12"/>
        <v>195.18201680273975</v>
      </c>
      <c r="O43" s="59">
        <f t="shared" si="17"/>
        <v>4.7978910369068537E-4</v>
      </c>
      <c r="P43" s="48" t="str">
        <f t="shared" si="18"/>
        <v>Belum</v>
      </c>
      <c r="Q43" s="1">
        <f t="shared" si="13"/>
        <v>95.957820738137073</v>
      </c>
      <c r="R43" s="48" t="str">
        <f t="shared" si="14"/>
        <v>Tarik</v>
      </c>
      <c r="S43" s="3">
        <f t="shared" si="15"/>
        <v>-856.71142355008783</v>
      </c>
      <c r="T43" s="3">
        <f t="shared" si="19"/>
        <v>5383.6264328571369</v>
      </c>
      <c r="U43" s="60">
        <f t="shared" si="20"/>
        <v>486.68457489761806</v>
      </c>
      <c r="V43" s="1">
        <f t="shared" si="21"/>
        <v>0.65</v>
      </c>
      <c r="W43" s="3">
        <f t="shared" si="16"/>
        <v>3499.3571813571393</v>
      </c>
      <c r="X43" s="3">
        <f t="shared" si="22"/>
        <v>316.34497368345177</v>
      </c>
    </row>
    <row r="44" spans="1:24" x14ac:dyDescent="0.25">
      <c r="A44" s="1">
        <v>12</v>
      </c>
      <c r="B44" s="3">
        <f t="shared" si="0"/>
        <v>294.84848484848487</v>
      </c>
      <c r="C44" s="3">
        <f t="shared" si="1"/>
        <v>250.62121212121212</v>
      </c>
      <c r="D44" s="1">
        <f t="shared" si="2"/>
        <v>4959.2925454545448</v>
      </c>
      <c r="E44" s="59">
        <f t="shared" si="3"/>
        <v>2.3793422404933197E-3</v>
      </c>
      <c r="F44" s="48" t="str">
        <f t="shared" si="4"/>
        <v>Sudah</v>
      </c>
      <c r="G44" s="1">
        <f t="shared" si="5"/>
        <v>390</v>
      </c>
      <c r="H44" s="48" t="str">
        <f t="shared" si="6"/>
        <v>Tekan</v>
      </c>
      <c r="I44" s="3">
        <f t="shared" si="7"/>
        <v>969.90861233175735</v>
      </c>
      <c r="J44" s="59">
        <f t="shared" si="8"/>
        <v>6.3946557040082236E-4</v>
      </c>
      <c r="K44" s="48" t="str">
        <f t="shared" si="9"/>
        <v>Belum</v>
      </c>
      <c r="L44" s="1">
        <f t="shared" si="10"/>
        <v>127.89311408016447</v>
      </c>
      <c r="M44" s="48" t="str">
        <f t="shared" si="11"/>
        <v>Tekan</v>
      </c>
      <c r="N44" s="3">
        <f t="shared" si="12"/>
        <v>180.00105430225679</v>
      </c>
      <c r="O44" s="59">
        <f t="shared" si="17"/>
        <v>5.6115107913669033E-4</v>
      </c>
      <c r="P44" s="48" t="str">
        <f t="shared" si="18"/>
        <v>Belum</v>
      </c>
      <c r="Q44" s="1">
        <f t="shared" si="13"/>
        <v>112.23021582733807</v>
      </c>
      <c r="R44" s="48" t="str">
        <f t="shared" si="14"/>
        <v>Tarik</v>
      </c>
      <c r="S44" s="3">
        <f t="shared" si="15"/>
        <v>-1001.9913669064744</v>
      </c>
      <c r="T44" s="3">
        <f t="shared" si="19"/>
        <v>5107.210845182085</v>
      </c>
      <c r="U44" s="60">
        <f t="shared" si="20"/>
        <v>522.08225187101527</v>
      </c>
      <c r="V44" s="1">
        <f t="shared" si="21"/>
        <v>0.65</v>
      </c>
      <c r="W44" s="3">
        <f t="shared" si="16"/>
        <v>3319.6870493683555</v>
      </c>
      <c r="X44" s="3">
        <f t="shared" si="22"/>
        <v>339.35346371615992</v>
      </c>
    </row>
    <row r="45" spans="1:24" x14ac:dyDescent="0.25">
      <c r="A45" s="1">
        <v>11</v>
      </c>
      <c r="B45" s="3">
        <f t="shared" si="0"/>
        <v>287.9545454545455</v>
      </c>
      <c r="C45" s="3">
        <f t="shared" si="1"/>
        <v>244.76136363636365</v>
      </c>
      <c r="D45" s="1">
        <f t="shared" si="2"/>
        <v>4843.3378636363641</v>
      </c>
      <c r="E45" s="59">
        <f t="shared" si="3"/>
        <v>2.3644830307813737E-3</v>
      </c>
      <c r="F45" s="48" t="str">
        <f t="shared" si="4"/>
        <v>Sudah</v>
      </c>
      <c r="G45" s="1">
        <f t="shared" si="5"/>
        <v>390</v>
      </c>
      <c r="H45" s="48" t="str">
        <f t="shared" si="6"/>
        <v>Tekan</v>
      </c>
      <c r="I45" s="3">
        <f t="shared" si="7"/>
        <v>969.90861233175735</v>
      </c>
      <c r="J45" s="59">
        <f t="shared" si="8"/>
        <v>5.829518547750595E-4</v>
      </c>
      <c r="K45" s="48" t="str">
        <f t="shared" si="9"/>
        <v>Belum</v>
      </c>
      <c r="L45" s="1">
        <f t="shared" si="10"/>
        <v>116.59037095501191</v>
      </c>
      <c r="M45" s="48" t="str">
        <f t="shared" si="11"/>
        <v>Tekan</v>
      </c>
      <c r="N45" s="3">
        <f t="shared" si="12"/>
        <v>164.09319488646523</v>
      </c>
      <c r="O45" s="59">
        <f t="shared" si="17"/>
        <v>6.4640883977900502E-4</v>
      </c>
      <c r="P45" s="48" t="str">
        <f t="shared" si="18"/>
        <v>Belum</v>
      </c>
      <c r="Q45" s="1">
        <f t="shared" si="13"/>
        <v>129.281767955801</v>
      </c>
      <c r="R45" s="48" t="str">
        <f t="shared" si="14"/>
        <v>Tarik</v>
      </c>
      <c r="S45" s="3">
        <f t="shared" si="15"/>
        <v>-1154.2276243093913</v>
      </c>
      <c r="T45" s="3">
        <f t="shared" si="19"/>
        <v>4823.1120465451959</v>
      </c>
      <c r="U45" s="60">
        <f t="shared" si="20"/>
        <v>558.0592400601646</v>
      </c>
      <c r="V45" s="1">
        <f t="shared" si="21"/>
        <v>0.65</v>
      </c>
      <c r="W45" s="3">
        <f t="shared" si="16"/>
        <v>3135.0228302543774</v>
      </c>
      <c r="X45" s="3">
        <f t="shared" si="22"/>
        <v>362.73850603910699</v>
      </c>
    </row>
    <row r="46" spans="1:24" x14ac:dyDescent="0.25">
      <c r="A46" s="1">
        <v>10</v>
      </c>
      <c r="B46" s="3">
        <f t="shared" si="0"/>
        <v>281.06060606060606</v>
      </c>
      <c r="C46" s="3">
        <f t="shared" si="1"/>
        <v>238.90151515151516</v>
      </c>
      <c r="D46" s="1">
        <f t="shared" si="2"/>
        <v>4727.3831818181816</v>
      </c>
      <c r="E46" s="59">
        <f t="shared" si="3"/>
        <v>2.3488948787061996E-3</v>
      </c>
      <c r="F46" s="48" t="str">
        <f t="shared" si="4"/>
        <v>Sudah</v>
      </c>
      <c r="G46" s="1">
        <f t="shared" si="5"/>
        <v>390</v>
      </c>
      <c r="H46" s="48" t="str">
        <f t="shared" si="6"/>
        <v>Tekan</v>
      </c>
      <c r="I46" s="3">
        <f t="shared" si="7"/>
        <v>969.90861233175735</v>
      </c>
      <c r="J46" s="59">
        <f t="shared" si="8"/>
        <v>5.2366576819407008E-4</v>
      </c>
      <c r="K46" s="48" t="str">
        <f t="shared" si="9"/>
        <v>Belum</v>
      </c>
      <c r="L46" s="1">
        <f t="shared" si="10"/>
        <v>104.73315363881402</v>
      </c>
      <c r="M46" s="48" t="str">
        <f t="shared" si="11"/>
        <v>Tekan</v>
      </c>
      <c r="N46" s="3">
        <f t="shared" si="12"/>
        <v>147.40494991442719</v>
      </c>
      <c r="O46" s="59">
        <f t="shared" si="17"/>
        <v>7.3584905660377365E-4</v>
      </c>
      <c r="P46" s="48" t="str">
        <f t="shared" si="18"/>
        <v>Belum</v>
      </c>
      <c r="Q46" s="1">
        <f t="shared" si="13"/>
        <v>147.16981132075472</v>
      </c>
      <c r="R46" s="48" t="str">
        <f t="shared" si="14"/>
        <v>Tarik</v>
      </c>
      <c r="S46" s="3">
        <f t="shared" si="15"/>
        <v>-1313.932075471698</v>
      </c>
      <c r="T46" s="3">
        <f t="shared" si="19"/>
        <v>4530.7646685926684</v>
      </c>
      <c r="U46" s="60">
        <f t="shared" si="20"/>
        <v>594.70816726734984</v>
      </c>
      <c r="V46" s="1">
        <f t="shared" si="21"/>
        <v>0.65</v>
      </c>
      <c r="W46" s="3">
        <f t="shared" si="16"/>
        <v>2944.9970345852344</v>
      </c>
      <c r="X46" s="3">
        <f t="shared" si="22"/>
        <v>386.56030872377738</v>
      </c>
    </row>
    <row r="47" spans="1:24" x14ac:dyDescent="0.25">
      <c r="A47" s="1">
        <v>9</v>
      </c>
      <c r="B47" s="3">
        <f t="shared" si="0"/>
        <v>274.16666666666669</v>
      </c>
      <c r="C47" s="3">
        <f t="shared" si="1"/>
        <v>233.04166666666669</v>
      </c>
      <c r="D47" s="1">
        <f t="shared" si="2"/>
        <v>4611.4285000000009</v>
      </c>
      <c r="E47" s="59">
        <f t="shared" si="3"/>
        <v>2.3325227963525838E-3</v>
      </c>
      <c r="F47" s="48" t="str">
        <f t="shared" si="4"/>
        <v>Sudah</v>
      </c>
      <c r="G47" s="1">
        <f t="shared" si="5"/>
        <v>390</v>
      </c>
      <c r="H47" s="48" t="str">
        <f t="shared" si="6"/>
        <v>Tekan</v>
      </c>
      <c r="I47" s="3">
        <f t="shared" si="7"/>
        <v>969.90861233175735</v>
      </c>
      <c r="J47" s="59">
        <f t="shared" si="8"/>
        <v>4.6139817629179352E-4</v>
      </c>
      <c r="K47" s="48" t="str">
        <f t="shared" si="9"/>
        <v>Belum</v>
      </c>
      <c r="L47" s="1">
        <f t="shared" si="10"/>
        <v>92.279635258358709</v>
      </c>
      <c r="M47" s="48" t="str">
        <f t="shared" si="11"/>
        <v>Tekan</v>
      </c>
      <c r="N47" s="3">
        <f t="shared" si="12"/>
        <v>129.8774508432152</v>
      </c>
      <c r="O47" s="59">
        <f t="shared" si="17"/>
        <v>8.2978723404255293E-4</v>
      </c>
      <c r="P47" s="48" t="str">
        <f t="shared" si="18"/>
        <v>Belum</v>
      </c>
      <c r="Q47" s="1">
        <f t="shared" si="13"/>
        <v>165.95744680851058</v>
      </c>
      <c r="R47" s="48" t="str">
        <f t="shared" si="14"/>
        <v>Tarik</v>
      </c>
      <c r="S47" s="3">
        <f t="shared" si="15"/>
        <v>-1481.6680851063825</v>
      </c>
      <c r="T47" s="3">
        <f t="shared" si="19"/>
        <v>4229.5464780685907</v>
      </c>
      <c r="U47" s="60">
        <f t="shared" si="20"/>
        <v>632.13097782429077</v>
      </c>
      <c r="V47" s="1">
        <f t="shared" si="21"/>
        <v>0.65</v>
      </c>
      <c r="W47" s="3">
        <f t="shared" si="16"/>
        <v>2749.2052107445838</v>
      </c>
      <c r="X47" s="3">
        <f t="shared" si="22"/>
        <v>410.88513558578899</v>
      </c>
    </row>
    <row r="48" spans="1:24" x14ac:dyDescent="0.25">
      <c r="A48" s="1">
        <v>8</v>
      </c>
      <c r="B48" s="3">
        <f t="shared" si="0"/>
        <v>267.27272727272725</v>
      </c>
      <c r="C48" s="3">
        <f t="shared" si="1"/>
        <v>227.18181818181816</v>
      </c>
      <c r="D48" s="1">
        <f t="shared" si="2"/>
        <v>4495.4738181818175</v>
      </c>
      <c r="E48" s="59">
        <f t="shared" si="3"/>
        <v>2.3153061224489798E-3</v>
      </c>
      <c r="F48" s="48" t="str">
        <f t="shared" si="4"/>
        <v>Sudah</v>
      </c>
      <c r="G48" s="1">
        <f t="shared" si="5"/>
        <v>390</v>
      </c>
      <c r="H48" s="48" t="str">
        <f t="shared" si="6"/>
        <v>Tekan</v>
      </c>
      <c r="I48" s="3">
        <f t="shared" si="7"/>
        <v>969.90861233175735</v>
      </c>
      <c r="J48" s="59">
        <f t="shared" si="8"/>
        <v>3.9591836734693861E-4</v>
      </c>
      <c r="K48" s="48" t="str">
        <f t="shared" si="9"/>
        <v>Belum</v>
      </c>
      <c r="L48" s="1">
        <f t="shared" si="10"/>
        <v>79.183673469387728</v>
      </c>
      <c r="M48" s="48" t="str">
        <f t="shared" si="11"/>
        <v>Tekan</v>
      </c>
      <c r="N48" s="3">
        <f t="shared" si="12"/>
        <v>111.4457553913453</v>
      </c>
      <c r="O48" s="59">
        <f t="shared" si="17"/>
        <v>9.2857142857142899E-4</v>
      </c>
      <c r="P48" s="48" t="str">
        <f t="shared" si="18"/>
        <v>Belum</v>
      </c>
      <c r="Q48" s="1">
        <f t="shared" si="13"/>
        <v>185.71428571428581</v>
      </c>
      <c r="R48" s="48" t="str">
        <f t="shared" si="14"/>
        <v>Tarik</v>
      </c>
      <c r="S48" s="3">
        <f t="shared" si="15"/>
        <v>-1658.0571428571436</v>
      </c>
      <c r="T48" s="3">
        <f t="shared" si="19"/>
        <v>3918.7710430477764</v>
      </c>
      <c r="U48" s="60">
        <f t="shared" si="20"/>
        <v>670.44013412867901</v>
      </c>
      <c r="V48" s="1">
        <f t="shared" si="21"/>
        <v>0.65</v>
      </c>
      <c r="W48" s="3">
        <f t="shared" si="16"/>
        <v>2547.2011779810546</v>
      </c>
      <c r="X48" s="3">
        <f t="shared" si="22"/>
        <v>435.78608718364137</v>
      </c>
    </row>
    <row r="49" spans="1:24" x14ac:dyDescent="0.25">
      <c r="A49" s="1">
        <v>7</v>
      </c>
      <c r="B49" s="3">
        <f t="shared" si="0"/>
        <v>260.37878787878788</v>
      </c>
      <c r="C49" s="3">
        <f t="shared" si="1"/>
        <v>221.32196969696969</v>
      </c>
      <c r="D49" s="1">
        <f t="shared" si="2"/>
        <v>4379.5191363636359</v>
      </c>
      <c r="E49" s="59">
        <f t="shared" si="3"/>
        <v>2.2971777713121908E-3</v>
      </c>
      <c r="F49" s="48" t="str">
        <f t="shared" si="4"/>
        <v>Sudah</v>
      </c>
      <c r="G49" s="1">
        <f t="shared" si="5"/>
        <v>390</v>
      </c>
      <c r="H49" s="48" t="str">
        <f t="shared" si="6"/>
        <v>Tekan</v>
      </c>
      <c r="I49" s="3">
        <f t="shared" si="7"/>
        <v>969.90861233175735</v>
      </c>
      <c r="J49" s="59">
        <f t="shared" si="8"/>
        <v>3.2697119581029963E-4</v>
      </c>
      <c r="K49" s="48" t="str">
        <f t="shared" si="9"/>
        <v>Belum</v>
      </c>
      <c r="L49" s="1">
        <f t="shared" si="10"/>
        <v>65.394239162059918</v>
      </c>
      <c r="M49" s="48" t="str">
        <f t="shared" si="11"/>
        <v>Tekan</v>
      </c>
      <c r="N49" s="3">
        <f t="shared" si="12"/>
        <v>92.038043479702381</v>
      </c>
      <c r="O49" s="59">
        <f t="shared" si="17"/>
        <v>1.0325865580448066E-3</v>
      </c>
      <c r="P49" s="48" t="str">
        <f t="shared" si="18"/>
        <v>Belum</v>
      </c>
      <c r="Q49" s="1">
        <f t="shared" si="13"/>
        <v>206.51731160896131</v>
      </c>
      <c r="R49" s="48" t="str">
        <f t="shared" si="14"/>
        <v>Tarik</v>
      </c>
      <c r="S49" s="3">
        <f t="shared" si="15"/>
        <v>-1843.7865580448065</v>
      </c>
      <c r="T49" s="3">
        <f t="shared" si="19"/>
        <v>3597.6792341302894</v>
      </c>
      <c r="U49" s="60">
        <f t="shared" si="20"/>
        <v>709.760009056169</v>
      </c>
      <c r="V49" s="1">
        <f t="shared" si="21"/>
        <v>0.65</v>
      </c>
      <c r="W49" s="3">
        <f t="shared" si="16"/>
        <v>2338.4915021846882</v>
      </c>
      <c r="X49" s="3">
        <f t="shared" si="22"/>
        <v>461.34400588650988</v>
      </c>
    </row>
    <row r="50" spans="1:24" x14ac:dyDescent="0.25">
      <c r="A50" s="1">
        <v>6</v>
      </c>
      <c r="B50" s="3">
        <f t="shared" si="0"/>
        <v>253.4848484848485</v>
      </c>
      <c r="C50" s="3">
        <f t="shared" si="1"/>
        <v>215.46212121212122</v>
      </c>
      <c r="D50" s="1">
        <f t="shared" si="2"/>
        <v>4263.5644545454552</v>
      </c>
      <c r="E50" s="59">
        <f t="shared" si="3"/>
        <v>2.2780633592349078E-3</v>
      </c>
      <c r="F50" s="48" t="str">
        <f t="shared" si="4"/>
        <v>Sudah</v>
      </c>
      <c r="G50" s="1">
        <f t="shared" si="5"/>
        <v>390</v>
      </c>
      <c r="H50" s="48" t="str">
        <f t="shared" si="6"/>
        <v>Tekan</v>
      </c>
      <c r="I50" s="3">
        <f t="shared" si="7"/>
        <v>969.90861233175735</v>
      </c>
      <c r="J50" s="59">
        <f t="shared" si="8"/>
        <v>2.5427375971309041E-4</v>
      </c>
      <c r="K50" s="48" t="str">
        <f t="shared" si="9"/>
        <v>Belum</v>
      </c>
      <c r="L50" s="1">
        <f t="shared" si="10"/>
        <v>50.85475194261808</v>
      </c>
      <c r="M50" s="48" t="str">
        <f t="shared" si="11"/>
        <v>Tekan</v>
      </c>
      <c r="N50" s="3">
        <f t="shared" si="12"/>
        <v>71.574681966170971</v>
      </c>
      <c r="O50" s="59">
        <f t="shared" si="17"/>
        <v>1.1422594142259412E-3</v>
      </c>
      <c r="P50" s="48" t="str">
        <f t="shared" si="18"/>
        <v>Belum</v>
      </c>
      <c r="Q50" s="1">
        <f t="shared" si="13"/>
        <v>228.45188284518824</v>
      </c>
      <c r="R50" s="48" t="str">
        <f t="shared" si="14"/>
        <v>Tarik</v>
      </c>
      <c r="S50" s="3">
        <f t="shared" si="15"/>
        <v>-2039.6184100418404</v>
      </c>
      <c r="T50" s="3">
        <f t="shared" si="19"/>
        <v>3265.4293388015431</v>
      </c>
      <c r="U50" s="60">
        <f t="shared" si="20"/>
        <v>750.22850558604307</v>
      </c>
      <c r="V50" s="1">
        <f t="shared" si="21"/>
        <v>0.65</v>
      </c>
      <c r="W50" s="3">
        <f t="shared" si="16"/>
        <v>2122.5290702210032</v>
      </c>
      <c r="X50" s="3">
        <f t="shared" si="22"/>
        <v>487.64852863092801</v>
      </c>
    </row>
    <row r="51" spans="1:24" x14ac:dyDescent="0.25">
      <c r="A51" s="1">
        <v>5</v>
      </c>
      <c r="B51" s="3">
        <f t="shared" si="0"/>
        <v>246.59090909090909</v>
      </c>
      <c r="C51" s="3">
        <f t="shared" si="1"/>
        <v>209.60227272727272</v>
      </c>
      <c r="D51" s="1">
        <f t="shared" si="2"/>
        <v>4147.6097727272727</v>
      </c>
      <c r="E51" s="59">
        <f t="shared" si="3"/>
        <v>2.2578801843317971E-3</v>
      </c>
      <c r="F51" s="48" t="str">
        <f t="shared" si="4"/>
        <v>Sudah</v>
      </c>
      <c r="G51" s="1">
        <f t="shared" si="5"/>
        <v>390</v>
      </c>
      <c r="H51" s="48" t="str">
        <f t="shared" si="6"/>
        <v>Tekan</v>
      </c>
      <c r="I51" s="3">
        <f t="shared" si="7"/>
        <v>969.90861233175735</v>
      </c>
      <c r="J51" s="59">
        <f t="shared" si="8"/>
        <v>1.7751152073732722E-4</v>
      </c>
      <c r="K51" s="48" t="str">
        <f t="shared" si="9"/>
        <v>Belum</v>
      </c>
      <c r="L51" s="1">
        <f t="shared" si="10"/>
        <v>35.502304147465445</v>
      </c>
      <c r="M51" s="48" t="str">
        <f t="shared" si="11"/>
        <v>Tekan</v>
      </c>
      <c r="N51" s="3">
        <f t="shared" si="12"/>
        <v>49.967132497044169</v>
      </c>
      <c r="O51" s="59">
        <f t="shared" si="17"/>
        <v>1.2580645161290322E-3</v>
      </c>
      <c r="P51" s="48" t="str">
        <f t="shared" si="18"/>
        <v>Sudah</v>
      </c>
      <c r="Q51" s="1">
        <f t="shared" si="13"/>
        <v>245</v>
      </c>
      <c r="R51" s="48" t="str">
        <f t="shared" si="14"/>
        <v>Tarik</v>
      </c>
      <c r="S51" s="3">
        <f t="shared" si="15"/>
        <v>-2187.36</v>
      </c>
      <c r="T51" s="3">
        <f t="shared" si="19"/>
        <v>2980.1255175560741</v>
      </c>
      <c r="U51" s="60">
        <f t="shared" si="20"/>
        <v>781.66694810601984</v>
      </c>
      <c r="V51" s="1">
        <f t="shared" si="21"/>
        <v>0.65</v>
      </c>
      <c r="W51" s="3">
        <f t="shared" si="16"/>
        <v>1937.0815864114481</v>
      </c>
      <c r="X51" s="3">
        <f t="shared" si="22"/>
        <v>508.08351626891294</v>
      </c>
    </row>
    <row r="52" spans="1:24" x14ac:dyDescent="0.25">
      <c r="A52" s="1">
        <v>4</v>
      </c>
      <c r="B52" s="3">
        <f t="shared" si="0"/>
        <v>239.69696969696969</v>
      </c>
      <c r="C52" s="3">
        <f t="shared" si="1"/>
        <v>203.74242424242422</v>
      </c>
      <c r="D52" s="1">
        <f t="shared" si="2"/>
        <v>4031.6550909090906</v>
      </c>
      <c r="E52" s="59">
        <f t="shared" si="3"/>
        <v>2.23653603034134E-3</v>
      </c>
      <c r="F52" s="48" t="str">
        <f t="shared" si="4"/>
        <v>Sudah</v>
      </c>
      <c r="G52" s="1">
        <f t="shared" si="5"/>
        <v>390</v>
      </c>
      <c r="H52" s="48" t="str">
        <f t="shared" si="6"/>
        <v>Tekan</v>
      </c>
      <c r="I52" s="3">
        <f t="shared" si="7"/>
        <v>969.90861233175735</v>
      </c>
      <c r="J52" s="59">
        <f t="shared" si="8"/>
        <v>9.6333754740834298E-5</v>
      </c>
      <c r="K52" s="48" t="str">
        <f t="shared" si="9"/>
        <v>Belum</v>
      </c>
      <c r="L52" s="1">
        <f t="shared" si="10"/>
        <v>19.266750948166859</v>
      </c>
      <c r="M52" s="48" t="str">
        <f t="shared" si="11"/>
        <v>Tekan</v>
      </c>
      <c r="N52" s="3">
        <f t="shared" si="12"/>
        <v>27.116670890312722</v>
      </c>
      <c r="O52" s="59">
        <f t="shared" si="17"/>
        <v>1.3805309734513276E-3</v>
      </c>
      <c r="P52" s="48" t="str">
        <f t="shared" si="18"/>
        <v>Sudah</v>
      </c>
      <c r="Q52" s="1">
        <f t="shared" si="13"/>
        <v>245</v>
      </c>
      <c r="R52" s="48" t="str">
        <f t="shared" si="14"/>
        <v>Tarik</v>
      </c>
      <c r="S52" s="3">
        <f t="shared" si="15"/>
        <v>-2187.36</v>
      </c>
      <c r="T52" s="3">
        <f t="shared" si="19"/>
        <v>2841.3203741311604</v>
      </c>
      <c r="U52" s="60">
        <f t="shared" si="20"/>
        <v>786.64198150859863</v>
      </c>
      <c r="V52" s="1">
        <f t="shared" si="21"/>
        <v>0.65</v>
      </c>
      <c r="W52" s="3">
        <f t="shared" si="16"/>
        <v>1846.8582431852544</v>
      </c>
      <c r="X52" s="3">
        <f t="shared" si="22"/>
        <v>511.31728798058913</v>
      </c>
    </row>
    <row r="53" spans="1:24" x14ac:dyDescent="0.25">
      <c r="A53" s="1">
        <v>3</v>
      </c>
      <c r="B53" s="3">
        <f t="shared" si="0"/>
        <v>232.80303030303031</v>
      </c>
      <c r="C53" s="3">
        <f t="shared" si="1"/>
        <v>197.88257575757575</v>
      </c>
      <c r="D53" s="1">
        <f t="shared" si="2"/>
        <v>3915.700409090909</v>
      </c>
      <c r="E53" s="59">
        <f t="shared" si="3"/>
        <v>2.2139277578913114E-3</v>
      </c>
      <c r="F53" s="48" t="str">
        <f t="shared" si="4"/>
        <v>Sudah</v>
      </c>
      <c r="G53" s="1">
        <f t="shared" si="5"/>
        <v>390</v>
      </c>
      <c r="H53" s="48" t="str">
        <f t="shared" si="6"/>
        <v>Tekan</v>
      </c>
      <c r="I53" s="3">
        <f t="shared" si="7"/>
        <v>969.90861233175735</v>
      </c>
      <c r="J53" s="59">
        <f t="shared" si="8"/>
        <v>1.0348193947282896E-5</v>
      </c>
      <c r="K53" s="48" t="str">
        <f t="shared" si="9"/>
        <v>Belum</v>
      </c>
      <c r="L53" s="1">
        <f t="shared" si="10"/>
        <v>2.0696387894565791</v>
      </c>
      <c r="M53" s="48" t="str">
        <f t="shared" si="11"/>
        <v>Tekan</v>
      </c>
      <c r="N53" s="3">
        <f t="shared" si="12"/>
        <v>2.9128789834104851</v>
      </c>
      <c r="O53" s="59">
        <f t="shared" si="17"/>
        <v>1.5102505694760818E-3</v>
      </c>
      <c r="P53" s="48" t="str">
        <f t="shared" si="18"/>
        <v>Sudah</v>
      </c>
      <c r="Q53" s="1">
        <f t="shared" si="13"/>
        <v>245</v>
      </c>
      <c r="R53" s="48" t="str">
        <f t="shared" si="14"/>
        <v>Tarik</v>
      </c>
      <c r="S53" s="3">
        <f t="shared" si="15"/>
        <v>-2187.36</v>
      </c>
      <c r="T53" s="3">
        <f t="shared" si="19"/>
        <v>2701.1619004060763</v>
      </c>
      <c r="U53" s="60">
        <f t="shared" si="20"/>
        <v>791.01467787172385</v>
      </c>
      <c r="V53" s="1">
        <f t="shared" si="21"/>
        <v>0.65</v>
      </c>
      <c r="W53" s="3">
        <f t="shared" si="16"/>
        <v>1755.7552352639495</v>
      </c>
      <c r="X53" s="3">
        <f t="shared" si="22"/>
        <v>514.15954061662057</v>
      </c>
    </row>
    <row r="54" spans="1:24" x14ac:dyDescent="0.25">
      <c r="A54" s="1">
        <v>2</v>
      </c>
      <c r="B54" s="3">
        <f t="shared" si="0"/>
        <v>225.90909090909091</v>
      </c>
      <c r="C54" s="3">
        <f t="shared" si="1"/>
        <v>192.02272727272725</v>
      </c>
      <c r="D54" s="1">
        <f t="shared" si="2"/>
        <v>3799.745727272727</v>
      </c>
      <c r="E54" s="59">
        <f t="shared" si="3"/>
        <v>2.1899396378269615E-3</v>
      </c>
      <c r="F54" s="48" t="str">
        <f t="shared" si="4"/>
        <v>Sudah</v>
      </c>
      <c r="G54" s="1">
        <f t="shared" si="5"/>
        <v>390</v>
      </c>
      <c r="H54" s="48" t="str">
        <f t="shared" si="6"/>
        <v>Tekan</v>
      </c>
      <c r="I54" s="3">
        <f t="shared" si="7"/>
        <v>969.90861233175735</v>
      </c>
      <c r="J54" s="59">
        <f t="shared" si="8"/>
        <v>8.0885311871227406E-5</v>
      </c>
      <c r="K54" s="48" t="str">
        <f t="shared" si="9"/>
        <v>Belum</v>
      </c>
      <c r="L54" s="1">
        <f t="shared" si="10"/>
        <v>16.17706237424548</v>
      </c>
      <c r="M54" s="48" t="str">
        <f t="shared" si="11"/>
        <v>Tarik</v>
      </c>
      <c r="N54" s="3">
        <f t="shared" si="12"/>
        <v>-22.768139659593867</v>
      </c>
      <c r="O54" s="59">
        <f t="shared" si="17"/>
        <v>1.647887323943662E-3</v>
      </c>
      <c r="P54" s="48" t="str">
        <f t="shared" si="18"/>
        <v>Sudah</v>
      </c>
      <c r="Q54" s="1">
        <f t="shared" si="13"/>
        <v>245</v>
      </c>
      <c r="R54" s="48" t="str">
        <f t="shared" si="14"/>
        <v>Tarik</v>
      </c>
      <c r="S54" s="3">
        <f t="shared" si="15"/>
        <v>-2187.36</v>
      </c>
      <c r="T54" s="3">
        <f t="shared" si="19"/>
        <v>2559.5261999448908</v>
      </c>
      <c r="U54" s="60">
        <f t="shared" si="20"/>
        <v>794.79209929224362</v>
      </c>
      <c r="V54" s="1">
        <f t="shared" si="21"/>
        <v>0.65</v>
      </c>
      <c r="W54" s="3">
        <f t="shared" si="16"/>
        <v>1663.692029964179</v>
      </c>
      <c r="X54" s="3">
        <f t="shared" si="22"/>
        <v>516.61486453995838</v>
      </c>
    </row>
    <row r="55" spans="1:24" x14ac:dyDescent="0.25">
      <c r="A55" s="1">
        <v>1</v>
      </c>
      <c r="B55" s="3">
        <f>$B$56+(A55/20*($G$9-$B$56))</f>
        <v>219.01515151515153</v>
      </c>
      <c r="C55" s="3">
        <f>$G$20*B55</f>
        <v>186.16287878787878</v>
      </c>
      <c r="D55" s="1">
        <f>0.85*$G$5*C55*$G$8/1000</f>
        <v>3683.7910454545454</v>
      </c>
      <c r="E55" s="59">
        <f t="shared" si="3"/>
        <v>2.1644413697682464E-3</v>
      </c>
      <c r="F55" s="48" t="str">
        <f>IF(E55&lt;$G$6/$G$7,"Belum","Sudah")</f>
        <v>Sudah</v>
      </c>
      <c r="G55" s="1">
        <f>IF(F55="Sudah",$G$6,E55*$G$7)</f>
        <v>390</v>
      </c>
      <c r="H55" s="48" t="str">
        <f t="shared" si="6"/>
        <v>Tekan</v>
      </c>
      <c r="I55" s="3">
        <f>$L$13*(G55-$G$20*$G$5)/1000*IF(H55="Tarik",-1,1)</f>
        <v>969.90861233175735</v>
      </c>
      <c r="J55" s="59">
        <f t="shared" si="8"/>
        <v>1.7786233137322705E-4</v>
      </c>
      <c r="K55" s="48" t="str">
        <f>IF(J55&lt;$G$6/$G$7,"Belum","Sudah")</f>
        <v>Belum</v>
      </c>
      <c r="L55" s="1">
        <f>IF(K55="Sudah",$G$6,J55*$G$7)</f>
        <v>35.572466274645407</v>
      </c>
      <c r="M55" s="48" t="str">
        <f t="shared" si="11"/>
        <v>Tarik</v>
      </c>
      <c r="N55" s="3">
        <f>$L$14*L55/1000*IF(M55="Tarik",-1,1)</f>
        <v>-50.065881025886512</v>
      </c>
      <c r="O55" s="59">
        <f t="shared" si="17"/>
        <v>1.7941888619854719E-3</v>
      </c>
      <c r="P55" s="48" t="str">
        <f t="shared" si="18"/>
        <v>Sudah</v>
      </c>
      <c r="Q55" s="1">
        <f>IF(P55="Sudah",$G$16,O55*$G$17)</f>
        <v>245</v>
      </c>
      <c r="R55" s="48" t="str">
        <f t="shared" si="14"/>
        <v>Tarik</v>
      </c>
      <c r="S55" s="3">
        <f>$L$15*Q55/1000*IF(R55="Tarik",-1,1)</f>
        <v>-2187.36</v>
      </c>
      <c r="T55" s="3">
        <f t="shared" si="19"/>
        <v>2416.2737767604162</v>
      </c>
      <c r="U55" s="60">
        <f t="shared" si="20"/>
        <v>797.98219704142753</v>
      </c>
      <c r="V55" s="1">
        <f t="shared" si="21"/>
        <v>0.65</v>
      </c>
      <c r="W55" s="3">
        <f t="shared" si="16"/>
        <v>1570.5779548942705</v>
      </c>
      <c r="X55" s="3">
        <f t="shared" si="22"/>
        <v>518.68842807692795</v>
      </c>
    </row>
    <row r="56" spans="1:24" x14ac:dyDescent="0.25">
      <c r="A56" s="80" t="s">
        <v>211</v>
      </c>
      <c r="B56" s="3">
        <f>(600/(600+$G$6))*$L$21</f>
        <v>212.12121212121212</v>
      </c>
      <c r="C56" s="3">
        <f>$G$20*B56</f>
        <v>180.30303030303031</v>
      </c>
      <c r="D56" s="1">
        <f>0.85*$G$5*C56*$G$8/1000</f>
        <v>3567.8363636363638</v>
      </c>
      <c r="E56" s="59">
        <f t="shared" si="3"/>
        <v>2.1372857142857144E-3</v>
      </c>
      <c r="F56" s="48" t="str">
        <f>IF(E56&lt;$G$6/$G$7,"Belum","Sudah")</f>
        <v>Sudah</v>
      </c>
      <c r="G56" s="1">
        <f>IF(F56="Sudah",$G$6,E56*$G$7)</f>
        <v>390</v>
      </c>
      <c r="H56" s="48" t="str">
        <f t="shared" si="6"/>
        <v>Tekan</v>
      </c>
      <c r="I56" s="3">
        <f>$L$13*(G56-$G$20*$G$5)/1000*IF(H56="Tarik",-1,1)</f>
        <v>969.90861233175735</v>
      </c>
      <c r="J56" s="61">
        <f t="shared" si="8"/>
        <v>2.8114285714285708E-4</v>
      </c>
      <c r="K56" s="48" t="str">
        <f>IF(J56&lt;$G$6/$G$7,"Belum","Sudah")</f>
        <v>Belum</v>
      </c>
      <c r="L56" s="1">
        <f>IF(K56="Sudah",$G$6,J56*$G$7)</f>
        <v>56.228571428571414</v>
      </c>
      <c r="M56" s="48" t="str">
        <f t="shared" si="11"/>
        <v>Tarik</v>
      </c>
      <c r="N56" s="3">
        <f>$L$14*L56/1000*IF(M56="Tarik",-1,1)</f>
        <v>-79.137975580988311</v>
      </c>
      <c r="O56" s="59">
        <f t="shared" si="17"/>
        <v>1.9500000000000001E-3</v>
      </c>
      <c r="P56" s="48" t="str">
        <f t="shared" si="18"/>
        <v>Sudah</v>
      </c>
      <c r="Q56" s="1">
        <f>IF(P56="Sudah",$G$16,O56*$G$17)</f>
        <v>245</v>
      </c>
      <c r="R56" s="48" t="str">
        <f t="shared" si="14"/>
        <v>Tarik</v>
      </c>
      <c r="S56" s="3">
        <f>$L$15*Q56/1000*IF(R56="Tarik",-1,1)</f>
        <v>-2187.36</v>
      </c>
      <c r="T56" s="3">
        <f t="shared" si="19"/>
        <v>2271.2470003871326</v>
      </c>
      <c r="U56" s="60">
        <f t="shared" si="20"/>
        <v>800.59395605580994</v>
      </c>
      <c r="V56" s="1">
        <f t="shared" si="21"/>
        <v>0.65</v>
      </c>
      <c r="W56" s="3">
        <f t="shared" si="16"/>
        <v>1476.3105502516362</v>
      </c>
      <c r="X56" s="3">
        <f t="shared" si="22"/>
        <v>520.38607143627644</v>
      </c>
    </row>
    <row r="57" spans="1:24" x14ac:dyDescent="0.25">
      <c r="A57" s="1">
        <v>-1</v>
      </c>
      <c r="B57" s="3">
        <f>$B$56+(A57/20*($B$56))</f>
        <v>201.51515151515153</v>
      </c>
      <c r="C57" s="3">
        <f t="shared" ref="C57:C67" si="23">$G$20*B57</f>
        <v>171.28787878787878</v>
      </c>
      <c r="D57" s="1">
        <f t="shared" ref="D57:D67" si="24">0.85*$G$5*C57*$G$8/1000</f>
        <v>3389.4445454545453</v>
      </c>
      <c r="E57" s="59">
        <f t="shared" si="3"/>
        <v>2.0918796992481204E-3</v>
      </c>
      <c r="F57" s="48" t="str">
        <f t="shared" ref="F57:F67" si="25">IF(E57&lt;$G$6/$G$7,"Belum","Sudah")</f>
        <v>Sudah</v>
      </c>
      <c r="G57" s="1">
        <f t="shared" ref="G57:G67" si="26">IF(F57="Sudah",$G$6,E57*$G$7)</f>
        <v>390</v>
      </c>
      <c r="H57" s="48" t="str">
        <f t="shared" si="6"/>
        <v>Tekan</v>
      </c>
      <c r="I57" s="3">
        <f t="shared" ref="I57:I67" si="27">$L$13*(G57-$G$20*$G$5)/1000*IF(H57="Tarik",-1,1)</f>
        <v>969.90861233175735</v>
      </c>
      <c r="J57" s="61">
        <f t="shared" si="8"/>
        <v>4.538345864661652E-4</v>
      </c>
      <c r="K57" s="48" t="str">
        <f t="shared" ref="K57:K67" si="28">IF(J57&lt;$G$6/$G$7,"Belum","Sudah")</f>
        <v>Belum</v>
      </c>
      <c r="L57" s="1">
        <f t="shared" ref="L57:L67" si="29">IF(K57="Sudah",$G$6,J57*$G$7)</f>
        <v>90.766917293233035</v>
      </c>
      <c r="M57" s="48" t="str">
        <f t="shared" si="11"/>
        <v>Tarik</v>
      </c>
      <c r="N57" s="3">
        <f t="shared" ref="N57:N67" si="30">$L$14*L57/1000*IF(M57="Tarik",-1,1)</f>
        <v>-127.74840088972113</v>
      </c>
      <c r="O57" s="59">
        <f t="shared" si="17"/>
        <v>2.2105263157894731E-3</v>
      </c>
      <c r="P57" s="48" t="str">
        <f t="shared" si="18"/>
        <v>Sudah</v>
      </c>
      <c r="Q57" s="1">
        <f t="shared" ref="Q57:Q67" si="31">IF(P57="Sudah",$G$16,O57*$G$17)</f>
        <v>245</v>
      </c>
      <c r="R57" s="48" t="str">
        <f t="shared" si="14"/>
        <v>Tarik</v>
      </c>
      <c r="S57" s="3">
        <f t="shared" ref="S57:S67" si="32">$L$15*Q57/1000*IF(R57="Tarik",-1,1)</f>
        <v>-2187.36</v>
      </c>
      <c r="T57" s="3">
        <f t="shared" si="19"/>
        <v>2044.2447568965813</v>
      </c>
      <c r="U57" s="60">
        <f t="shared" si="20"/>
        <v>803.50665288105233</v>
      </c>
      <c r="V57" s="1">
        <f t="shared" si="21"/>
        <v>0.66754385964912277</v>
      </c>
      <c r="W57" s="3">
        <f t="shared" si="16"/>
        <v>1364.6230350862265</v>
      </c>
      <c r="X57" s="3">
        <f t="shared" si="22"/>
        <v>536.37593231796563</v>
      </c>
    </row>
    <row r="58" spans="1:24" x14ac:dyDescent="0.25">
      <c r="A58" s="1">
        <v>-2</v>
      </c>
      <c r="B58" s="3">
        <f t="shared" ref="B58:B76" si="33">$B$56+(A58/20*($B$56))</f>
        <v>190.90909090909091</v>
      </c>
      <c r="C58" s="3">
        <f t="shared" si="23"/>
        <v>162.27272727272728</v>
      </c>
      <c r="D58" s="1">
        <f t="shared" si="24"/>
        <v>3211.0527272727277</v>
      </c>
      <c r="E58" s="59">
        <f t="shared" si="3"/>
        <v>2.0414285714285712E-3</v>
      </c>
      <c r="F58" s="48" t="str">
        <f t="shared" si="25"/>
        <v>Sudah</v>
      </c>
      <c r="G58" s="1">
        <f t="shared" si="26"/>
        <v>390</v>
      </c>
      <c r="H58" s="48" t="str">
        <f t="shared" si="6"/>
        <v>Tekan</v>
      </c>
      <c r="I58" s="3">
        <f t="shared" si="27"/>
        <v>969.90861233175735</v>
      </c>
      <c r="J58" s="61">
        <f t="shared" si="8"/>
        <v>6.4571428571428581E-4</v>
      </c>
      <c r="K58" s="48" t="str">
        <f t="shared" si="28"/>
        <v>Belum</v>
      </c>
      <c r="L58" s="1">
        <f t="shared" si="29"/>
        <v>129.14285714285717</v>
      </c>
      <c r="M58" s="48" t="str">
        <f t="shared" si="11"/>
        <v>Tarik</v>
      </c>
      <c r="N58" s="3">
        <f t="shared" si="30"/>
        <v>-181.75998456609111</v>
      </c>
      <c r="O58" s="59">
        <f t="shared" si="17"/>
        <v>2.5000000000000001E-3</v>
      </c>
      <c r="P58" s="48" t="str">
        <f t="shared" si="18"/>
        <v>Sudah</v>
      </c>
      <c r="Q58" s="1">
        <f t="shared" si="31"/>
        <v>245</v>
      </c>
      <c r="R58" s="48" t="str">
        <f t="shared" si="14"/>
        <v>Tarik</v>
      </c>
      <c r="S58" s="3">
        <f t="shared" si="32"/>
        <v>-2187.36</v>
      </c>
      <c r="T58" s="3">
        <f t="shared" si="19"/>
        <v>1811.8413550383939</v>
      </c>
      <c r="U58" s="60">
        <f t="shared" si="20"/>
        <v>805.11898646327757</v>
      </c>
      <c r="V58" s="1">
        <f t="shared" si="21"/>
        <v>0.69166666666666665</v>
      </c>
      <c r="W58" s="3">
        <f t="shared" si="16"/>
        <v>1253.1902705682223</v>
      </c>
      <c r="X58" s="3">
        <f t="shared" si="22"/>
        <v>556.87396563710035</v>
      </c>
    </row>
    <row r="59" spans="1:24" x14ac:dyDescent="0.25">
      <c r="A59" s="1">
        <v>-3</v>
      </c>
      <c r="B59" s="3">
        <f t="shared" si="33"/>
        <v>180.30303030303031</v>
      </c>
      <c r="C59" s="3">
        <f t="shared" si="23"/>
        <v>153.25757575757575</v>
      </c>
      <c r="D59" s="1">
        <f t="shared" si="24"/>
        <v>3032.6609090909087</v>
      </c>
      <c r="E59" s="59">
        <f t="shared" si="3"/>
        <v>1.9850420168067229E-3</v>
      </c>
      <c r="F59" s="48" t="str">
        <f t="shared" si="25"/>
        <v>Sudah</v>
      </c>
      <c r="G59" s="1">
        <f t="shared" si="26"/>
        <v>390</v>
      </c>
      <c r="H59" s="48" t="str">
        <f t="shared" si="6"/>
        <v>Tekan</v>
      </c>
      <c r="I59" s="3">
        <f t="shared" si="27"/>
        <v>969.90861233175735</v>
      </c>
      <c r="J59" s="61">
        <f t="shared" si="8"/>
        <v>8.6016806722689063E-4</v>
      </c>
      <c r="K59" s="48" t="str">
        <f t="shared" si="28"/>
        <v>Belum</v>
      </c>
      <c r="L59" s="1">
        <f t="shared" si="29"/>
        <v>172.03361344537814</v>
      </c>
      <c r="M59" s="48" t="str">
        <f t="shared" si="11"/>
        <v>Tarik</v>
      </c>
      <c r="N59" s="3">
        <f t="shared" si="30"/>
        <v>-242.12587220438678</v>
      </c>
      <c r="O59" s="59">
        <f t="shared" si="17"/>
        <v>2.8235294117647056E-3</v>
      </c>
      <c r="P59" s="48" t="str">
        <f t="shared" si="18"/>
        <v>Sudah</v>
      </c>
      <c r="Q59" s="1">
        <f t="shared" si="31"/>
        <v>245</v>
      </c>
      <c r="R59" s="48" t="str">
        <f t="shared" si="14"/>
        <v>Tarik</v>
      </c>
      <c r="S59" s="3">
        <f t="shared" si="32"/>
        <v>-2187.36</v>
      </c>
      <c r="T59" s="3">
        <f t="shared" si="19"/>
        <v>1573.0836492182793</v>
      </c>
      <c r="U59" s="60">
        <f t="shared" si="20"/>
        <v>805.48528610136009</v>
      </c>
      <c r="V59" s="1">
        <f t="shared" si="21"/>
        <v>0.71862745098039216</v>
      </c>
      <c r="W59" s="3">
        <f t="shared" si="16"/>
        <v>1130.4610930166655</v>
      </c>
      <c r="X59" s="3">
        <f t="shared" si="22"/>
        <v>578.84383795323231</v>
      </c>
    </row>
    <row r="60" spans="1:24" x14ac:dyDescent="0.25">
      <c r="A60" s="1">
        <v>-4</v>
      </c>
      <c r="B60" s="3">
        <f t="shared" si="33"/>
        <v>169.69696969696969</v>
      </c>
      <c r="C60" s="3">
        <f t="shared" si="23"/>
        <v>144.24242424242422</v>
      </c>
      <c r="D60" s="1">
        <f t="shared" si="24"/>
        <v>2854.2690909090902</v>
      </c>
      <c r="E60" s="59">
        <f t="shared" si="3"/>
        <v>1.9216071428571431E-3</v>
      </c>
      <c r="F60" s="48" t="str">
        <f t="shared" si="25"/>
        <v>Belum</v>
      </c>
      <c r="G60" s="1">
        <f t="shared" si="26"/>
        <v>384.32142857142861</v>
      </c>
      <c r="H60" s="48" t="str">
        <f t="shared" si="6"/>
        <v>Tekan</v>
      </c>
      <c r="I60" s="3">
        <f t="shared" si="27"/>
        <v>954.79833706615386</v>
      </c>
      <c r="J60" s="61">
        <f t="shared" si="8"/>
        <v>1.1014285714285716E-3</v>
      </c>
      <c r="K60" s="48" t="str">
        <f t="shared" si="28"/>
        <v>Belum</v>
      </c>
      <c r="L60" s="1">
        <f t="shared" si="29"/>
        <v>220.28571428571431</v>
      </c>
      <c r="M60" s="48" t="str">
        <f t="shared" si="11"/>
        <v>Tarik</v>
      </c>
      <c r="N60" s="3">
        <f t="shared" si="30"/>
        <v>-310.03749579746949</v>
      </c>
      <c r="O60" s="59">
        <f t="shared" si="17"/>
        <v>3.1875000000000002E-3</v>
      </c>
      <c r="P60" s="48" t="str">
        <f t="shared" si="18"/>
        <v>Sudah</v>
      </c>
      <c r="Q60" s="1">
        <f t="shared" si="31"/>
        <v>245</v>
      </c>
      <c r="R60" s="48" t="str">
        <f t="shared" si="14"/>
        <v>Tarik</v>
      </c>
      <c r="S60" s="3">
        <f t="shared" si="32"/>
        <v>-2187.36</v>
      </c>
      <c r="T60" s="3">
        <f t="shared" si="19"/>
        <v>1311.6699321777742</v>
      </c>
      <c r="U60" s="60">
        <f t="shared" si="20"/>
        <v>802.95089203861426</v>
      </c>
      <c r="V60" s="1">
        <f t="shared" si="21"/>
        <v>0.74895833333333339</v>
      </c>
      <c r="W60" s="3">
        <f t="shared" si="16"/>
        <v>982.38612628731221</v>
      </c>
      <c r="X60" s="3">
        <f t="shared" si="22"/>
        <v>601.37676184975385</v>
      </c>
    </row>
    <row r="61" spans="1:24" x14ac:dyDescent="0.25">
      <c r="A61" s="1">
        <v>-5</v>
      </c>
      <c r="B61" s="3">
        <f t="shared" si="33"/>
        <v>159.09090909090909</v>
      </c>
      <c r="C61" s="3">
        <f t="shared" si="23"/>
        <v>135.22727272727272</v>
      </c>
      <c r="D61" s="1">
        <f t="shared" si="24"/>
        <v>2675.8772727272726</v>
      </c>
      <c r="E61" s="59">
        <f t="shared" si="3"/>
        <v>1.8497142857142857E-3</v>
      </c>
      <c r="F61" s="48" t="str">
        <f t="shared" si="25"/>
        <v>Belum</v>
      </c>
      <c r="G61" s="1">
        <f t="shared" si="26"/>
        <v>369.94285714285712</v>
      </c>
      <c r="H61" s="48" t="str">
        <f t="shared" si="6"/>
        <v>Tekan</v>
      </c>
      <c r="I61" s="3">
        <f t="shared" si="27"/>
        <v>916.53797969551238</v>
      </c>
      <c r="J61" s="61">
        <f t="shared" si="8"/>
        <v>1.3748571428571427E-3</v>
      </c>
      <c r="K61" s="48" t="str">
        <f t="shared" si="28"/>
        <v>Belum</v>
      </c>
      <c r="L61" s="1">
        <f t="shared" si="29"/>
        <v>274.97142857142853</v>
      </c>
      <c r="M61" s="48" t="str">
        <f t="shared" si="11"/>
        <v>Tarik</v>
      </c>
      <c r="N61" s="3">
        <f t="shared" si="30"/>
        <v>-387.00400253629647</v>
      </c>
      <c r="O61" s="59">
        <f t="shared" si="17"/>
        <v>3.5999999999999999E-3</v>
      </c>
      <c r="P61" s="48" t="str">
        <f t="shared" si="18"/>
        <v>Sudah</v>
      </c>
      <c r="Q61" s="1">
        <f t="shared" si="31"/>
        <v>245</v>
      </c>
      <c r="R61" s="48" t="str">
        <f t="shared" si="14"/>
        <v>Tarik</v>
      </c>
      <c r="S61" s="3">
        <f t="shared" si="32"/>
        <v>-2187.36</v>
      </c>
      <c r="T61" s="3">
        <f t="shared" si="19"/>
        <v>1018.0512498864882</v>
      </c>
      <c r="U61" s="60">
        <f t="shared" si="20"/>
        <v>796.68528768522924</v>
      </c>
      <c r="V61" s="1">
        <f t="shared" si="21"/>
        <v>0.78333333333333333</v>
      </c>
      <c r="W61" s="3">
        <f t="shared" si="16"/>
        <v>797.47347907774906</v>
      </c>
      <c r="X61" s="3">
        <f t="shared" si="22"/>
        <v>624.07014202009623</v>
      </c>
    </row>
    <row r="62" spans="1:24" x14ac:dyDescent="0.25">
      <c r="A62" s="1">
        <v>-6</v>
      </c>
      <c r="B62" s="3">
        <f t="shared" si="33"/>
        <v>148.4848484848485</v>
      </c>
      <c r="C62" s="3">
        <f t="shared" si="23"/>
        <v>126.21212121212122</v>
      </c>
      <c r="D62" s="1">
        <f t="shared" si="24"/>
        <v>2497.4854545454546</v>
      </c>
      <c r="E62" s="59">
        <f t="shared" si="3"/>
        <v>1.7675510204081635E-3</v>
      </c>
      <c r="F62" s="48" t="str">
        <f t="shared" si="25"/>
        <v>Belum</v>
      </c>
      <c r="G62" s="1">
        <f t="shared" si="26"/>
        <v>353.51020408163271</v>
      </c>
      <c r="H62" s="48" t="str">
        <f t="shared" si="6"/>
        <v>Tekan</v>
      </c>
      <c r="I62" s="3">
        <f t="shared" si="27"/>
        <v>872.81185698620823</v>
      </c>
      <c r="J62" s="61">
        <f t="shared" si="8"/>
        <v>1.6873469387755097E-3</v>
      </c>
      <c r="K62" s="48" t="str">
        <f t="shared" si="28"/>
        <v>Belum</v>
      </c>
      <c r="L62" s="1">
        <f t="shared" si="29"/>
        <v>337.46938775510193</v>
      </c>
      <c r="M62" s="48" t="str">
        <f t="shared" si="11"/>
        <v>Tarik</v>
      </c>
      <c r="N62" s="3">
        <f t="shared" si="30"/>
        <v>-474.96572452352734</v>
      </c>
      <c r="O62" s="59">
        <f t="shared" si="17"/>
        <v>4.0714285714285713E-3</v>
      </c>
      <c r="P62" s="48" t="str">
        <f t="shared" si="18"/>
        <v>Sudah</v>
      </c>
      <c r="Q62" s="1">
        <f t="shared" si="31"/>
        <v>245</v>
      </c>
      <c r="R62" s="48" t="str">
        <f t="shared" si="14"/>
        <v>Tarik</v>
      </c>
      <c r="S62" s="3">
        <f t="shared" si="32"/>
        <v>-2187.36</v>
      </c>
      <c r="T62" s="3">
        <f t="shared" si="19"/>
        <v>707.97158700813497</v>
      </c>
      <c r="U62" s="60">
        <f t="shared" si="20"/>
        <v>788.81508408242303</v>
      </c>
      <c r="V62" s="1">
        <f t="shared" si="21"/>
        <v>0.82261904761904758</v>
      </c>
      <c r="W62" s="3">
        <f t="shared" si="16"/>
        <v>582.39091264597766</v>
      </c>
      <c r="X62" s="3">
        <f t="shared" si="22"/>
        <v>648.89431321542179</v>
      </c>
    </row>
    <row r="63" spans="1:24" x14ac:dyDescent="0.25">
      <c r="A63" s="1">
        <v>-7</v>
      </c>
      <c r="B63" s="3">
        <f t="shared" si="33"/>
        <v>137.87878787878788</v>
      </c>
      <c r="C63" s="3">
        <f t="shared" si="23"/>
        <v>117.19696969696969</v>
      </c>
      <c r="D63" s="1">
        <f t="shared" si="24"/>
        <v>2319.0936363636361</v>
      </c>
      <c r="E63" s="59">
        <f t="shared" si="3"/>
        <v>1.6727472527472526E-3</v>
      </c>
      <c r="F63" s="48" t="str">
        <f t="shared" si="25"/>
        <v>Belum</v>
      </c>
      <c r="G63" s="1">
        <f t="shared" si="26"/>
        <v>334.54945054945051</v>
      </c>
      <c r="H63" s="48" t="str">
        <f t="shared" si="6"/>
        <v>Tekan</v>
      </c>
      <c r="I63" s="3">
        <f t="shared" si="27"/>
        <v>822.35863847547216</v>
      </c>
      <c r="J63" s="61">
        <f t="shared" si="8"/>
        <v>2.047912087912088E-3</v>
      </c>
      <c r="K63" s="48" t="str">
        <f t="shared" si="28"/>
        <v>Sudah</v>
      </c>
      <c r="L63" s="1">
        <f t="shared" si="29"/>
        <v>390</v>
      </c>
      <c r="M63" s="48" t="str">
        <f t="shared" si="11"/>
        <v>Tarik</v>
      </c>
      <c r="N63" s="3">
        <f t="shared" si="30"/>
        <v>-548.89906843520862</v>
      </c>
      <c r="O63" s="59">
        <f t="shared" si="17"/>
        <v>4.6153846153846158E-3</v>
      </c>
      <c r="P63" s="48" t="str">
        <f t="shared" si="18"/>
        <v>Sudah</v>
      </c>
      <c r="Q63" s="1">
        <f t="shared" si="31"/>
        <v>245</v>
      </c>
      <c r="R63" s="48" t="str">
        <f t="shared" si="14"/>
        <v>Tarik</v>
      </c>
      <c r="S63" s="3">
        <f t="shared" si="32"/>
        <v>-2187.36</v>
      </c>
      <c r="T63" s="3">
        <f t="shared" si="19"/>
        <v>405.19320640389969</v>
      </c>
      <c r="U63" s="60">
        <f t="shared" si="20"/>
        <v>777.77014473797487</v>
      </c>
      <c r="V63" s="1">
        <f t="shared" si="21"/>
        <v>0.86794871794871797</v>
      </c>
      <c r="W63" s="3">
        <f t="shared" si="16"/>
        <v>351.68692401979501</v>
      </c>
      <c r="X63" s="3">
        <f t="shared" si="22"/>
        <v>675.06459998411412</v>
      </c>
    </row>
    <row r="64" spans="1:24" x14ac:dyDescent="0.25">
      <c r="A64" s="1">
        <v>-8</v>
      </c>
      <c r="B64" s="3">
        <f t="shared" si="33"/>
        <v>127.27272727272727</v>
      </c>
      <c r="C64" s="3">
        <f t="shared" si="23"/>
        <v>108.18181818181817</v>
      </c>
      <c r="D64" s="1">
        <f t="shared" si="24"/>
        <v>2140.701818181818</v>
      </c>
      <c r="E64" s="59">
        <f t="shared" si="3"/>
        <v>1.562142857142857E-3</v>
      </c>
      <c r="F64" s="48" t="str">
        <f t="shared" si="25"/>
        <v>Belum</v>
      </c>
      <c r="G64" s="1">
        <f t="shared" si="26"/>
        <v>312.42857142857139</v>
      </c>
      <c r="H64" s="48" t="str">
        <f t="shared" si="6"/>
        <v>Tekan</v>
      </c>
      <c r="I64" s="3">
        <f t="shared" si="27"/>
        <v>763.496550212947</v>
      </c>
      <c r="J64" s="61">
        <f t="shared" si="8"/>
        <v>2.4685714285714289E-3</v>
      </c>
      <c r="K64" s="48" t="str">
        <f t="shared" si="28"/>
        <v>Sudah</v>
      </c>
      <c r="L64" s="1">
        <f t="shared" si="29"/>
        <v>390</v>
      </c>
      <c r="M64" s="48" t="str">
        <f t="shared" si="11"/>
        <v>Tarik</v>
      </c>
      <c r="N64" s="3">
        <f t="shared" si="30"/>
        <v>-548.89906843520862</v>
      </c>
      <c r="O64" s="59">
        <f t="shared" si="17"/>
        <v>5.2500000000000012E-3</v>
      </c>
      <c r="P64" s="48" t="str">
        <f t="shared" si="18"/>
        <v>Sudah</v>
      </c>
      <c r="Q64" s="1">
        <f t="shared" si="31"/>
        <v>245</v>
      </c>
      <c r="R64" s="48" t="str">
        <f t="shared" si="14"/>
        <v>Tarik</v>
      </c>
      <c r="S64" s="3">
        <f t="shared" si="32"/>
        <v>-2187.36</v>
      </c>
      <c r="T64" s="3">
        <f t="shared" si="19"/>
        <v>167.93929995955614</v>
      </c>
      <c r="U64" s="60">
        <f t="shared" si="20"/>
        <v>759.94416436888446</v>
      </c>
      <c r="V64" s="1">
        <f t="shared" si="21"/>
        <v>0.9</v>
      </c>
      <c r="W64" s="3">
        <f t="shared" si="16"/>
        <v>151.14536996360053</v>
      </c>
      <c r="X64" s="3">
        <f t="shared" si="22"/>
        <v>683.94974793199606</v>
      </c>
    </row>
    <row r="65" spans="1:24" s="68" customFormat="1" x14ac:dyDescent="0.25">
      <c r="A65" s="1" t="s">
        <v>215</v>
      </c>
      <c r="B65" s="62">
        <v>120.0323425453815</v>
      </c>
      <c r="C65" s="3">
        <f>$G$20*B65</f>
        <v>102.02749116357427</v>
      </c>
      <c r="D65" s="1">
        <f>0.85*$G$5*C65*$G$8/1000</f>
        <v>2018.9199951448077</v>
      </c>
      <c r="E65" s="59">
        <f>ABS(B65-$L$19)/B65*$G$21</f>
        <v>1.4754109090988384E-3</v>
      </c>
      <c r="F65" s="48" t="str">
        <f>IF(E65&lt;$G$6/$G$7,"Belum","Sudah")</f>
        <v>Belum</v>
      </c>
      <c r="G65" s="1">
        <f>IF(F65="Sudah",$G$6,E65*$G$7)</f>
        <v>295.0821818197677</v>
      </c>
      <c r="H65" s="48" t="str">
        <f>IF(B65&gt;$L$19,"Tekan","Tarik")</f>
        <v>Tekan</v>
      </c>
      <c r="I65" s="3">
        <f>$L$13*(G65-$G$20*$G$5)/1000*IF(H65="Tarik",-1,1)</f>
        <v>717.33903944630561</v>
      </c>
      <c r="J65" s="61">
        <f>ABS(B65-$L$20)/B65*$G$21</f>
        <v>2.7984371981814673E-3</v>
      </c>
      <c r="K65" s="48" t="str">
        <f>IF(J65&lt;$G$6/$G$7,"Belum","Sudah")</f>
        <v>Sudah</v>
      </c>
      <c r="L65" s="1">
        <f>IF(K65="Sudah",$G$6,J65*$G$7)</f>
        <v>390</v>
      </c>
      <c r="M65" s="48" t="str">
        <f>IF(B65&gt;$L$20,"Tekan","Tarik")</f>
        <v>Tarik</v>
      </c>
      <c r="N65" s="3">
        <f>$L$14*L65/1000*IF(M65="Tarik",-1,1)</f>
        <v>-548.89906843520862</v>
      </c>
      <c r="O65" s="59">
        <f>ABS(B65-$L$21)/B65*$G$21</f>
        <v>5.7476423248427316E-3</v>
      </c>
      <c r="P65" s="48" t="str">
        <f>IF(O65&lt;$G$16/$G$17,"Belum","Sudah")</f>
        <v>Sudah</v>
      </c>
      <c r="Q65" s="1">
        <f>IF(P65="Sudah",$G$16,O65*$G$17)</f>
        <v>245</v>
      </c>
      <c r="R65" s="48" t="str">
        <f>IF(B65&gt;$L$21,"Tekan","Tarik")</f>
        <v>Tarik</v>
      </c>
      <c r="S65" s="3">
        <f>$L$15*Q65/1000*IF(R65="Tarik",-1,1)</f>
        <v>-2187.36</v>
      </c>
      <c r="T65" s="3">
        <f>(D65+I65+N65+S65)</f>
        <v>-3.3844095469248714E-5</v>
      </c>
      <c r="U65" s="60">
        <f>(D65*($G$9/2-C65/2)+I65*($G$9/2-$L$19)-N65*ABS($G$9/2-$L$20)-S65*ABS($G$9/2-$L$21))/1000</f>
        <v>746.17022556572704</v>
      </c>
      <c r="V65" s="1">
        <f>IF(O65&lt;0.002,$G$29,IF(O65&gt;0.005,0.9,0.65+(O65-0.002)*(250/3)))</f>
        <v>0.9</v>
      </c>
      <c r="W65" s="3">
        <f>T65*V65</f>
        <v>-3.0459685922323844E-5</v>
      </c>
      <c r="X65" s="3">
        <f>U65*V65</f>
        <v>671.55320300915434</v>
      </c>
    </row>
    <row r="66" spans="1:24" x14ac:dyDescent="0.25">
      <c r="A66" s="1">
        <v>-9</v>
      </c>
      <c r="B66" s="3">
        <f t="shared" si="33"/>
        <v>116.66666666666667</v>
      </c>
      <c r="C66" s="3">
        <f t="shared" si="23"/>
        <v>99.166666666666671</v>
      </c>
      <c r="D66" s="1">
        <f t="shared" si="24"/>
        <v>1962.31</v>
      </c>
      <c r="E66" s="59">
        <f t="shared" si="3"/>
        <v>1.4314285714285716E-3</v>
      </c>
      <c r="F66" s="48" t="str">
        <f t="shared" si="25"/>
        <v>Belum</v>
      </c>
      <c r="G66" s="1">
        <f t="shared" si="26"/>
        <v>286.28571428571433</v>
      </c>
      <c r="H66" s="48" t="str">
        <f t="shared" si="6"/>
        <v>Tekan</v>
      </c>
      <c r="I66" s="3">
        <f t="shared" si="27"/>
        <v>693.93226408450846</v>
      </c>
      <c r="J66" s="61">
        <f t="shared" si="8"/>
        <v>2.9657142857142855E-3</v>
      </c>
      <c r="K66" s="48" t="str">
        <f t="shared" si="28"/>
        <v>Sudah</v>
      </c>
      <c r="L66" s="1">
        <f t="shared" si="29"/>
        <v>390</v>
      </c>
      <c r="M66" s="48" t="str">
        <f t="shared" si="11"/>
        <v>Tarik</v>
      </c>
      <c r="N66" s="3">
        <f t="shared" si="30"/>
        <v>-548.89906843520862</v>
      </c>
      <c r="O66" s="59">
        <f t="shared" si="17"/>
        <v>5.9999999999999993E-3</v>
      </c>
      <c r="P66" s="48" t="str">
        <f t="shared" si="18"/>
        <v>Sudah</v>
      </c>
      <c r="Q66" s="1">
        <f t="shared" si="31"/>
        <v>245</v>
      </c>
      <c r="R66" s="48" t="str">
        <f t="shared" si="14"/>
        <v>Tarik</v>
      </c>
      <c r="S66" s="3">
        <f t="shared" si="32"/>
        <v>-2187.36</v>
      </c>
      <c r="T66" s="3">
        <f t="shared" si="19"/>
        <v>-80.016804350700568</v>
      </c>
      <c r="U66" s="60">
        <f t="shared" si="20"/>
        <v>739.28990417310763</v>
      </c>
      <c r="V66" s="1">
        <f t="shared" si="21"/>
        <v>0.9</v>
      </c>
      <c r="W66" s="3">
        <f t="shared" si="16"/>
        <v>-72.015123915630511</v>
      </c>
      <c r="X66" s="3">
        <f t="shared" si="22"/>
        <v>665.3609137557969</v>
      </c>
    </row>
    <row r="67" spans="1:24" x14ac:dyDescent="0.25">
      <c r="A67" s="1">
        <v>-10</v>
      </c>
      <c r="B67" s="3">
        <f t="shared" si="33"/>
        <v>106.06060606060606</v>
      </c>
      <c r="C67" s="3">
        <f t="shared" si="23"/>
        <v>90.151515151515156</v>
      </c>
      <c r="D67" s="1">
        <f t="shared" si="24"/>
        <v>1783.9181818181819</v>
      </c>
      <c r="E67" s="59">
        <f t="shared" si="3"/>
        <v>1.2745714285714287E-3</v>
      </c>
      <c r="F67" s="48" t="str">
        <f t="shared" si="25"/>
        <v>Belum</v>
      </c>
      <c r="G67" s="1">
        <f t="shared" si="26"/>
        <v>254.91428571428574</v>
      </c>
      <c r="H67" s="48" t="str">
        <f t="shared" si="6"/>
        <v>Tekan</v>
      </c>
      <c r="I67" s="3">
        <f t="shared" si="27"/>
        <v>610.45512073038185</v>
      </c>
      <c r="J67" s="61">
        <f t="shared" si="8"/>
        <v>3.5622857142857144E-3</v>
      </c>
      <c r="K67" s="48" t="str">
        <f t="shared" si="28"/>
        <v>Sudah</v>
      </c>
      <c r="L67" s="1">
        <f t="shared" si="29"/>
        <v>390</v>
      </c>
      <c r="M67" s="48" t="str">
        <f t="shared" si="11"/>
        <v>Tarik</v>
      </c>
      <c r="N67" s="3">
        <f t="shared" si="30"/>
        <v>-548.89906843520862</v>
      </c>
      <c r="O67" s="59">
        <f t="shared" si="17"/>
        <v>6.8999999999999999E-3</v>
      </c>
      <c r="P67" s="48" t="str">
        <f t="shared" si="18"/>
        <v>Sudah</v>
      </c>
      <c r="Q67" s="1">
        <f t="shared" si="31"/>
        <v>245</v>
      </c>
      <c r="R67" s="48" t="str">
        <f t="shared" si="14"/>
        <v>Tarik</v>
      </c>
      <c r="S67" s="3">
        <f t="shared" si="32"/>
        <v>-2187.36</v>
      </c>
      <c r="T67" s="3">
        <f t="shared" si="19"/>
        <v>-341.88576588664523</v>
      </c>
      <c r="U67" s="60">
        <f t="shared" si="20"/>
        <v>715.44134898362972</v>
      </c>
      <c r="V67" s="1">
        <f t="shared" si="21"/>
        <v>0.9</v>
      </c>
      <c r="W67" s="3">
        <f t="shared" si="16"/>
        <v>-307.69718929798074</v>
      </c>
      <c r="X67" s="3">
        <f t="shared" si="22"/>
        <v>643.8972140852668</v>
      </c>
    </row>
    <row r="68" spans="1:24" x14ac:dyDescent="0.25">
      <c r="A68" s="1">
        <v>-11</v>
      </c>
      <c r="B68" s="3">
        <f t="shared" si="33"/>
        <v>95.454545454545453</v>
      </c>
      <c r="C68" s="3">
        <f t="shared" ref="C68:C76" si="34">$G$20*B68</f>
        <v>81.13636363636364</v>
      </c>
      <c r="D68" s="1">
        <f t="shared" ref="D68:D76" si="35">0.85*$G$5*C68*$G$8/1000</f>
        <v>1605.5263636363638</v>
      </c>
      <c r="E68" s="59">
        <f t="shared" ref="E68:E76" si="36">ABS(B68-$L$19)/B68*$G$21</f>
        <v>1.082857142857143E-3</v>
      </c>
      <c r="F68" s="55" t="str">
        <f t="shared" ref="F68:F76" si="37">IF(E68&lt;$G$6/$G$7,"Belum","Sudah")</f>
        <v>Belum</v>
      </c>
      <c r="G68" s="1">
        <f t="shared" ref="G68:G76" si="38">IF(F68="Sudah",$G$6,E68*$G$7)</f>
        <v>216.57142857142861</v>
      </c>
      <c r="H68" s="55" t="str">
        <f t="shared" ref="H68:H76" si="39">IF(B68&gt;$L$19,"Tekan","Tarik")</f>
        <v>Tekan</v>
      </c>
      <c r="I68" s="3">
        <f t="shared" ref="I68:I76" si="40">$L$13*(G68-$G$20*$G$5)/1000*IF(H68="Tarik",-1,1)</f>
        <v>508.42750107533828</v>
      </c>
      <c r="J68" s="61">
        <f t="shared" ref="J68:J76" si="41">ABS(B68-$L$20)/B68*$G$21</f>
        <v>4.2914285714285719E-3</v>
      </c>
      <c r="K68" s="55" t="str">
        <f t="shared" ref="K68:K76" si="42">IF(J68&lt;$G$6/$G$7,"Belum","Sudah")</f>
        <v>Sudah</v>
      </c>
      <c r="L68" s="1">
        <f t="shared" ref="L68:L76" si="43">IF(K68="Sudah",$G$6,J68*$G$7)</f>
        <v>390</v>
      </c>
      <c r="M68" s="55" t="str">
        <f t="shared" ref="M68:M76" si="44">IF(B68&gt;$L$20,"Tekan","Tarik")</f>
        <v>Tarik</v>
      </c>
      <c r="N68" s="3">
        <f t="shared" ref="N68:N76" si="45">$L$14*L68/1000*IF(M68="Tarik",-1,1)</f>
        <v>-548.89906843520862</v>
      </c>
      <c r="O68" s="59">
        <f t="shared" ref="O68:O76" si="46">ABS(B68-$L$21)/B68*$G$21</f>
        <v>8.0000000000000019E-3</v>
      </c>
      <c r="P68" s="55" t="str">
        <f t="shared" ref="P68:P76" si="47">IF(O68&lt;$G$16/$G$17,"Belum","Sudah")</f>
        <v>Sudah</v>
      </c>
      <c r="Q68" s="1">
        <f t="shared" ref="Q68:Q76" si="48">IF(P68="Sudah",$G$16,O68*$G$17)</f>
        <v>245</v>
      </c>
      <c r="R68" s="55" t="str">
        <f t="shared" ref="R68:R76" si="49">IF(B68&gt;$L$21,"Tekan","Tarik")</f>
        <v>Tarik</v>
      </c>
      <c r="S68" s="3">
        <f t="shared" ref="S68:S76" si="50">$L$15*Q68/1000*IF(R68="Tarik",-1,1)</f>
        <v>-2187.36</v>
      </c>
      <c r="T68" s="3">
        <f t="shared" si="19"/>
        <v>-622.30520372350679</v>
      </c>
      <c r="U68" s="60">
        <f t="shared" si="20"/>
        <v>687.86981022587486</v>
      </c>
      <c r="V68" s="1">
        <f t="shared" si="21"/>
        <v>0.9</v>
      </c>
      <c r="W68" s="3">
        <f t="shared" si="16"/>
        <v>-560.07468335115618</v>
      </c>
      <c r="X68" s="3">
        <f t="shared" si="22"/>
        <v>619.08282920328736</v>
      </c>
    </row>
    <row r="69" spans="1:24" s="68" customFormat="1" x14ac:dyDescent="0.25">
      <c r="A69" s="1">
        <v>-12</v>
      </c>
      <c r="B69" s="3">
        <f t="shared" si="33"/>
        <v>84.848484848484858</v>
      </c>
      <c r="C69" s="3">
        <f t="shared" si="34"/>
        <v>72.121212121212125</v>
      </c>
      <c r="D69" s="1">
        <f t="shared" si="35"/>
        <v>1427.1345454545456</v>
      </c>
      <c r="E69" s="59">
        <f t="shared" si="36"/>
        <v>8.432142857142859E-4</v>
      </c>
      <c r="F69" s="55" t="str">
        <f t="shared" si="37"/>
        <v>Belum</v>
      </c>
      <c r="G69" s="1">
        <f t="shared" si="38"/>
        <v>168.64285714285717</v>
      </c>
      <c r="H69" s="55" t="str">
        <f t="shared" si="39"/>
        <v>Tekan</v>
      </c>
      <c r="I69" s="3">
        <f t="shared" si="40"/>
        <v>380.89297650653378</v>
      </c>
      <c r="J69" s="61">
        <f t="shared" si="41"/>
        <v>5.202857142857141E-3</v>
      </c>
      <c r="K69" s="55" t="str">
        <f t="shared" si="42"/>
        <v>Sudah</v>
      </c>
      <c r="L69" s="1">
        <f t="shared" si="43"/>
        <v>390</v>
      </c>
      <c r="M69" s="55" t="str">
        <f t="shared" si="44"/>
        <v>Tarik</v>
      </c>
      <c r="N69" s="3">
        <f t="shared" si="45"/>
        <v>-548.89906843520862</v>
      </c>
      <c r="O69" s="59">
        <f t="shared" si="46"/>
        <v>9.3749999999999997E-3</v>
      </c>
      <c r="P69" s="55" t="str">
        <f t="shared" si="47"/>
        <v>Sudah</v>
      </c>
      <c r="Q69" s="1">
        <f t="shared" si="48"/>
        <v>245</v>
      </c>
      <c r="R69" s="55" t="str">
        <f t="shared" si="49"/>
        <v>Tarik</v>
      </c>
      <c r="S69" s="3">
        <f t="shared" si="50"/>
        <v>-2187.36</v>
      </c>
      <c r="T69" s="3">
        <f t="shared" si="19"/>
        <v>-928.23154647412935</v>
      </c>
      <c r="U69" s="60">
        <f t="shared" si="20"/>
        <v>655.78225503797876</v>
      </c>
      <c r="V69" s="1">
        <f t="shared" si="21"/>
        <v>0.9</v>
      </c>
      <c r="W69" s="3">
        <f t="shared" si="16"/>
        <v>-835.40839182671641</v>
      </c>
      <c r="X69" s="3">
        <f t="shared" si="22"/>
        <v>590.2040295341809</v>
      </c>
    </row>
    <row r="70" spans="1:24" s="68" customFormat="1" x14ac:dyDescent="0.25">
      <c r="A70" s="1">
        <v>-13</v>
      </c>
      <c r="B70" s="3">
        <f t="shared" si="33"/>
        <v>74.242424242424249</v>
      </c>
      <c r="C70" s="3">
        <f t="shared" si="34"/>
        <v>63.106060606060609</v>
      </c>
      <c r="D70" s="1">
        <f t="shared" si="35"/>
        <v>1248.7427272727273</v>
      </c>
      <c r="E70" s="59">
        <f t="shared" si="36"/>
        <v>5.3510204081632675E-4</v>
      </c>
      <c r="F70" s="55" t="str">
        <f t="shared" si="37"/>
        <v>Belum</v>
      </c>
      <c r="G70" s="1">
        <f t="shared" si="38"/>
        <v>107.02040816326534</v>
      </c>
      <c r="H70" s="55" t="str">
        <f t="shared" si="39"/>
        <v>Tekan</v>
      </c>
      <c r="I70" s="3">
        <f t="shared" si="40"/>
        <v>216.92001634664237</v>
      </c>
      <c r="J70" s="61">
        <f t="shared" si="41"/>
        <v>6.3746938775510196E-3</v>
      </c>
      <c r="K70" s="55" t="str">
        <f t="shared" si="42"/>
        <v>Sudah</v>
      </c>
      <c r="L70" s="1">
        <f t="shared" si="43"/>
        <v>390</v>
      </c>
      <c r="M70" s="55" t="str">
        <f t="shared" si="44"/>
        <v>Tarik</v>
      </c>
      <c r="N70" s="3">
        <f t="shared" si="45"/>
        <v>-548.89906843520862</v>
      </c>
      <c r="O70" s="59">
        <f t="shared" si="46"/>
        <v>1.1142857142857142E-2</v>
      </c>
      <c r="P70" s="55" t="str">
        <f t="shared" si="47"/>
        <v>Sudah</v>
      </c>
      <c r="Q70" s="1">
        <f t="shared" si="48"/>
        <v>245</v>
      </c>
      <c r="R70" s="55" t="str">
        <f t="shared" si="49"/>
        <v>Tarik</v>
      </c>
      <c r="S70" s="3">
        <f t="shared" si="50"/>
        <v>-2187.36</v>
      </c>
      <c r="T70" s="3">
        <f t="shared" si="19"/>
        <v>-1270.5963248158391</v>
      </c>
      <c r="U70" s="60">
        <f t="shared" si="20"/>
        <v>617.93248892272641</v>
      </c>
      <c r="V70" s="1">
        <f t="shared" si="21"/>
        <v>0.9</v>
      </c>
      <c r="W70" s="3">
        <f t="shared" si="16"/>
        <v>-1143.5366923342553</v>
      </c>
      <c r="X70" s="3">
        <f t="shared" si="22"/>
        <v>556.13924003045383</v>
      </c>
    </row>
    <row r="71" spans="1:24" s="68" customFormat="1" x14ac:dyDescent="0.25">
      <c r="A71" s="1">
        <v>-14</v>
      </c>
      <c r="B71" s="3">
        <f t="shared" si="33"/>
        <v>63.636363636363654</v>
      </c>
      <c r="C71" s="3">
        <f t="shared" si="34"/>
        <v>54.090909090909108</v>
      </c>
      <c r="D71" s="1">
        <f t="shared" si="35"/>
        <v>1070.3509090909095</v>
      </c>
      <c r="E71" s="59">
        <f t="shared" si="36"/>
        <v>1.2428571428571512E-4</v>
      </c>
      <c r="F71" s="55" t="str">
        <f t="shared" si="37"/>
        <v>Belum</v>
      </c>
      <c r="G71" s="1">
        <f t="shared" si="38"/>
        <v>24.857142857143025</v>
      </c>
      <c r="H71" s="55" t="str">
        <f t="shared" si="39"/>
        <v>Tekan</v>
      </c>
      <c r="I71" s="3">
        <f t="shared" si="40"/>
        <v>-1.7105971998791967</v>
      </c>
      <c r="J71" s="61">
        <f t="shared" si="41"/>
        <v>7.9371428571428544E-3</v>
      </c>
      <c r="K71" s="55" t="str">
        <f t="shared" si="42"/>
        <v>Sudah</v>
      </c>
      <c r="L71" s="1">
        <f t="shared" si="43"/>
        <v>390</v>
      </c>
      <c r="M71" s="55" t="str">
        <f t="shared" si="44"/>
        <v>Tarik</v>
      </c>
      <c r="N71" s="3">
        <f t="shared" si="45"/>
        <v>-548.89906843520862</v>
      </c>
      <c r="O71" s="59">
        <f t="shared" si="46"/>
        <v>1.3499999999999998E-2</v>
      </c>
      <c r="P71" s="55" t="str">
        <f t="shared" si="47"/>
        <v>Sudah</v>
      </c>
      <c r="Q71" s="1">
        <f t="shared" si="48"/>
        <v>245</v>
      </c>
      <c r="R71" s="55" t="str">
        <f t="shared" si="49"/>
        <v>Tarik</v>
      </c>
      <c r="S71" s="3">
        <f t="shared" si="50"/>
        <v>-2187.36</v>
      </c>
      <c r="T71" s="3">
        <f t="shared" si="19"/>
        <v>-1667.6187565441785</v>
      </c>
      <c r="U71" s="60">
        <f t="shared" si="20"/>
        <v>572.24352105142577</v>
      </c>
      <c r="V71" s="1">
        <f t="shared" si="21"/>
        <v>0.9</v>
      </c>
      <c r="W71" s="3">
        <f t="shared" si="16"/>
        <v>-1500.8568808897608</v>
      </c>
      <c r="X71" s="3">
        <f t="shared" si="22"/>
        <v>515.01916894628323</v>
      </c>
    </row>
    <row r="72" spans="1:24" s="68" customFormat="1" x14ac:dyDescent="0.25">
      <c r="A72" s="1">
        <v>-15</v>
      </c>
      <c r="B72" s="3">
        <f t="shared" si="33"/>
        <v>53.030303030303031</v>
      </c>
      <c r="C72" s="3">
        <f t="shared" si="34"/>
        <v>45.075757575757578</v>
      </c>
      <c r="D72" s="1">
        <f t="shared" si="35"/>
        <v>891.95909090909095</v>
      </c>
      <c r="E72" s="59">
        <f t="shared" si="36"/>
        <v>4.5085714285714282E-4</v>
      </c>
      <c r="F72" s="55" t="str">
        <f t="shared" si="37"/>
        <v>Belum</v>
      </c>
      <c r="G72" s="1">
        <f t="shared" si="38"/>
        <v>90.171428571428564</v>
      </c>
      <c r="H72" s="55" t="str">
        <f t="shared" si="39"/>
        <v>Tarik</v>
      </c>
      <c r="I72" s="3">
        <f t="shared" si="40"/>
        <v>-172.08607830789202</v>
      </c>
      <c r="J72" s="61">
        <f t="shared" si="41"/>
        <v>1.0124571428571429E-2</v>
      </c>
      <c r="K72" s="55" t="str">
        <f t="shared" si="42"/>
        <v>Sudah</v>
      </c>
      <c r="L72" s="1">
        <f t="shared" si="43"/>
        <v>390</v>
      </c>
      <c r="M72" s="55" t="str">
        <f t="shared" si="44"/>
        <v>Tarik</v>
      </c>
      <c r="N72" s="3">
        <f t="shared" si="45"/>
        <v>-548.89906843520862</v>
      </c>
      <c r="O72" s="59">
        <f t="shared" si="46"/>
        <v>1.6800000000000002E-2</v>
      </c>
      <c r="P72" s="55" t="str">
        <f t="shared" si="47"/>
        <v>Sudah</v>
      </c>
      <c r="Q72" s="1">
        <f t="shared" si="48"/>
        <v>245</v>
      </c>
      <c r="R72" s="55" t="str">
        <f t="shared" si="49"/>
        <v>Tarik</v>
      </c>
      <c r="S72" s="3">
        <f t="shared" si="50"/>
        <v>-2187.36</v>
      </c>
      <c r="T72" s="3">
        <f t="shared" si="19"/>
        <v>-2016.3860558340098</v>
      </c>
      <c r="U72" s="60">
        <f t="shared" si="20"/>
        <v>530.44740900814259</v>
      </c>
      <c r="V72" s="1">
        <f t="shared" si="21"/>
        <v>0.9</v>
      </c>
      <c r="W72" s="3">
        <f t="shared" si="16"/>
        <v>-1814.7474502506088</v>
      </c>
      <c r="X72" s="3">
        <f t="shared" si="22"/>
        <v>477.40266810732834</v>
      </c>
    </row>
    <row r="73" spans="1:24" s="68" customFormat="1" x14ac:dyDescent="0.25">
      <c r="A73" s="1">
        <v>-16</v>
      </c>
      <c r="B73" s="3">
        <f t="shared" si="33"/>
        <v>42.424242424242408</v>
      </c>
      <c r="C73" s="3">
        <f t="shared" si="34"/>
        <v>36.060606060606048</v>
      </c>
      <c r="D73" s="1">
        <f t="shared" si="35"/>
        <v>713.56727272727244</v>
      </c>
      <c r="E73" s="59">
        <f t="shared" si="36"/>
        <v>1.3135714285714302E-3</v>
      </c>
      <c r="F73" s="55" t="str">
        <f t="shared" si="37"/>
        <v>Belum</v>
      </c>
      <c r="G73" s="1">
        <f t="shared" si="38"/>
        <v>262.71428571428606</v>
      </c>
      <c r="H73" s="55" t="str">
        <f t="shared" si="39"/>
        <v>Tarik</v>
      </c>
      <c r="I73" s="3">
        <f t="shared" si="40"/>
        <v>-631.21036675558901</v>
      </c>
      <c r="J73" s="61">
        <f t="shared" si="41"/>
        <v>1.3405714285714292E-2</v>
      </c>
      <c r="K73" s="55" t="str">
        <f t="shared" si="42"/>
        <v>Sudah</v>
      </c>
      <c r="L73" s="1">
        <f t="shared" si="43"/>
        <v>390</v>
      </c>
      <c r="M73" s="55" t="str">
        <f t="shared" si="44"/>
        <v>Tarik</v>
      </c>
      <c r="N73" s="3">
        <f t="shared" si="45"/>
        <v>-548.89906843520862</v>
      </c>
      <c r="O73" s="59">
        <f t="shared" si="46"/>
        <v>2.1750000000000012E-2</v>
      </c>
      <c r="P73" s="55" t="str">
        <f t="shared" si="47"/>
        <v>Sudah</v>
      </c>
      <c r="Q73" s="1">
        <f t="shared" si="48"/>
        <v>245</v>
      </c>
      <c r="R73" s="55" t="str">
        <f t="shared" si="49"/>
        <v>Tarik</v>
      </c>
      <c r="S73" s="3">
        <f t="shared" si="50"/>
        <v>-2187.36</v>
      </c>
      <c r="T73" s="3">
        <f t="shared" si="19"/>
        <v>-2653.9021624635252</v>
      </c>
      <c r="U73" s="60">
        <f t="shared" si="20"/>
        <v>454.12570365816276</v>
      </c>
      <c r="V73" s="1">
        <f t="shared" si="21"/>
        <v>0.9</v>
      </c>
      <c r="W73" s="3">
        <f t="shared" si="16"/>
        <v>-2388.5119462171729</v>
      </c>
      <c r="X73" s="3">
        <f t="shared" si="22"/>
        <v>408.71313329234647</v>
      </c>
    </row>
    <row r="74" spans="1:24" s="68" customFormat="1" x14ac:dyDescent="0.25">
      <c r="A74" s="1">
        <v>-17</v>
      </c>
      <c r="B74" s="3">
        <f t="shared" si="33"/>
        <v>31.818181818181813</v>
      </c>
      <c r="C74" s="3">
        <f t="shared" si="34"/>
        <v>27.04545454545454</v>
      </c>
      <c r="D74" s="1">
        <f t="shared" si="35"/>
        <v>535.1754545454545</v>
      </c>
      <c r="E74" s="59">
        <f t="shared" si="36"/>
        <v>2.7514285714285726E-3</v>
      </c>
      <c r="F74" s="55" t="str">
        <f t="shared" si="37"/>
        <v>Sudah</v>
      </c>
      <c r="G74" s="1">
        <f t="shared" si="38"/>
        <v>390</v>
      </c>
      <c r="H74" s="55" t="str">
        <f t="shared" si="39"/>
        <v>Tarik</v>
      </c>
      <c r="I74" s="3">
        <f t="shared" si="40"/>
        <v>-969.90861233175735</v>
      </c>
      <c r="J74" s="61">
        <f t="shared" si="41"/>
        <v>1.8874285714285718E-2</v>
      </c>
      <c r="K74" s="55" t="str">
        <f t="shared" si="42"/>
        <v>Sudah</v>
      </c>
      <c r="L74" s="1">
        <f t="shared" si="43"/>
        <v>390</v>
      </c>
      <c r="M74" s="55" t="str">
        <f t="shared" si="44"/>
        <v>Tarik</v>
      </c>
      <c r="N74" s="3">
        <f t="shared" si="45"/>
        <v>-548.89906843520862</v>
      </c>
      <c r="O74" s="59">
        <f t="shared" si="46"/>
        <v>3.0000000000000006E-2</v>
      </c>
      <c r="P74" s="55" t="str">
        <f t="shared" si="47"/>
        <v>Sudah</v>
      </c>
      <c r="Q74" s="1">
        <f t="shared" si="48"/>
        <v>245</v>
      </c>
      <c r="R74" s="55" t="str">
        <f t="shared" si="49"/>
        <v>Tarik</v>
      </c>
      <c r="S74" s="3">
        <f t="shared" si="50"/>
        <v>-2187.36</v>
      </c>
      <c r="T74" s="3">
        <f t="shared" si="19"/>
        <v>-3170.9922262215114</v>
      </c>
      <c r="U74" s="60">
        <f t="shared" si="20"/>
        <v>389.92433792556506</v>
      </c>
      <c r="V74" s="1">
        <f t="shared" si="21"/>
        <v>0.9</v>
      </c>
      <c r="W74" s="3">
        <f t="shared" si="16"/>
        <v>-2853.8930035993603</v>
      </c>
      <c r="X74" s="3">
        <f t="shared" si="22"/>
        <v>350.93190413300857</v>
      </c>
    </row>
    <row r="75" spans="1:24" s="68" customFormat="1" x14ac:dyDescent="0.25">
      <c r="A75" s="1">
        <v>-18</v>
      </c>
      <c r="B75" s="3">
        <f t="shared" si="33"/>
        <v>21.212121212121218</v>
      </c>
      <c r="C75" s="3">
        <f t="shared" si="34"/>
        <v>18.030303030303035</v>
      </c>
      <c r="D75" s="1">
        <f t="shared" si="35"/>
        <v>356.78363636363639</v>
      </c>
      <c r="E75" s="59">
        <f t="shared" si="36"/>
        <v>5.6271428571428549E-3</v>
      </c>
      <c r="F75" s="55" t="str">
        <f t="shared" si="37"/>
        <v>Sudah</v>
      </c>
      <c r="G75" s="1">
        <f t="shared" si="38"/>
        <v>390</v>
      </c>
      <c r="H75" s="55" t="str">
        <f t="shared" si="39"/>
        <v>Tarik</v>
      </c>
      <c r="I75" s="3">
        <f t="shared" si="40"/>
        <v>-969.90861233175735</v>
      </c>
      <c r="J75" s="61">
        <f t="shared" si="41"/>
        <v>2.9811428571428562E-2</v>
      </c>
      <c r="K75" s="55" t="str">
        <f t="shared" si="42"/>
        <v>Sudah</v>
      </c>
      <c r="L75" s="1">
        <f t="shared" si="43"/>
        <v>390</v>
      </c>
      <c r="M75" s="55" t="str">
        <f t="shared" si="44"/>
        <v>Tarik</v>
      </c>
      <c r="N75" s="3">
        <f t="shared" si="45"/>
        <v>-548.89906843520862</v>
      </c>
      <c r="O75" s="59">
        <f t="shared" si="46"/>
        <v>4.6499999999999986E-2</v>
      </c>
      <c r="P75" s="55" t="str">
        <f t="shared" si="47"/>
        <v>Sudah</v>
      </c>
      <c r="Q75" s="1">
        <f t="shared" si="48"/>
        <v>245</v>
      </c>
      <c r="R75" s="55" t="str">
        <f t="shared" si="49"/>
        <v>Tarik</v>
      </c>
      <c r="S75" s="3">
        <f t="shared" si="50"/>
        <v>-2187.36</v>
      </c>
      <c r="T75" s="3">
        <f t="shared" si="19"/>
        <v>-3349.3840444033294</v>
      </c>
      <c r="U75" s="60">
        <f t="shared" si="20"/>
        <v>362.72634291867803</v>
      </c>
      <c r="V75" s="1">
        <f t="shared" si="21"/>
        <v>0.9</v>
      </c>
      <c r="W75" s="3">
        <f t="shared" si="16"/>
        <v>-3014.4456399629967</v>
      </c>
      <c r="X75" s="3">
        <f t="shared" si="22"/>
        <v>326.45370862681023</v>
      </c>
    </row>
    <row r="76" spans="1:24" s="68" customFormat="1" x14ac:dyDescent="0.25">
      <c r="A76" s="1">
        <v>-19</v>
      </c>
      <c r="B76" s="3">
        <f t="shared" si="33"/>
        <v>10.606060606060623</v>
      </c>
      <c r="C76" s="3">
        <f t="shared" si="34"/>
        <v>9.0151515151515298</v>
      </c>
      <c r="D76" s="1">
        <f t="shared" si="35"/>
        <v>178.39181818181851</v>
      </c>
      <c r="E76" s="59">
        <f t="shared" si="36"/>
        <v>1.4254285714285686E-2</v>
      </c>
      <c r="F76" s="55" t="str">
        <f t="shared" si="37"/>
        <v>Sudah</v>
      </c>
      <c r="G76" s="1">
        <f t="shared" si="38"/>
        <v>390</v>
      </c>
      <c r="H76" s="55" t="str">
        <f t="shared" si="39"/>
        <v>Tarik</v>
      </c>
      <c r="I76" s="3">
        <f t="shared" si="40"/>
        <v>-969.90861233175735</v>
      </c>
      <c r="J76" s="61">
        <f t="shared" si="41"/>
        <v>6.2622857142857036E-2</v>
      </c>
      <c r="K76" s="55" t="str">
        <f t="shared" si="42"/>
        <v>Sudah</v>
      </c>
      <c r="L76" s="1">
        <f t="shared" si="43"/>
        <v>390</v>
      </c>
      <c r="M76" s="55" t="str">
        <f t="shared" si="44"/>
        <v>Tarik</v>
      </c>
      <c r="N76" s="3">
        <f t="shared" si="45"/>
        <v>-548.89906843520862</v>
      </c>
      <c r="O76" s="59">
        <f t="shared" si="46"/>
        <v>9.5999999999999835E-2</v>
      </c>
      <c r="P76" s="55" t="str">
        <f t="shared" si="47"/>
        <v>Sudah</v>
      </c>
      <c r="Q76" s="1">
        <f t="shared" si="48"/>
        <v>245</v>
      </c>
      <c r="R76" s="55" t="str">
        <f t="shared" si="49"/>
        <v>Tarik</v>
      </c>
      <c r="S76" s="3">
        <f t="shared" si="50"/>
        <v>-2187.36</v>
      </c>
      <c r="T76" s="3">
        <f t="shared" si="19"/>
        <v>-3527.7758625851475</v>
      </c>
      <c r="U76" s="60">
        <f t="shared" si="20"/>
        <v>333.92011864181853</v>
      </c>
      <c r="V76" s="1">
        <f t="shared" si="21"/>
        <v>0.9</v>
      </c>
      <c r="W76" s="3">
        <f t="shared" si="16"/>
        <v>-3174.998276326633</v>
      </c>
      <c r="X76" s="3">
        <f t="shared" si="22"/>
        <v>300.52810677763671</v>
      </c>
    </row>
    <row r="77" spans="1:24" s="68" customFormat="1" x14ac:dyDescent="0.25">
      <c r="A77" s="74"/>
      <c r="B77" s="75"/>
      <c r="C77" s="75"/>
      <c r="D77" s="74"/>
      <c r="E77" s="76"/>
      <c r="F77" s="77"/>
      <c r="G77" s="74"/>
      <c r="H77" s="77"/>
      <c r="I77" s="75"/>
      <c r="J77" s="78"/>
      <c r="K77" s="77"/>
      <c r="L77" s="74"/>
      <c r="M77" s="77"/>
      <c r="N77" s="75"/>
      <c r="O77" s="76"/>
      <c r="P77" s="77"/>
      <c r="Q77" s="74"/>
      <c r="R77" s="77"/>
      <c r="S77" s="75"/>
      <c r="T77" s="75"/>
      <c r="U77" s="79"/>
    </row>
    <row r="78" spans="1:24" x14ac:dyDescent="0.25">
      <c r="A78" s="160" t="s">
        <v>216</v>
      </c>
      <c r="B78" s="156" t="s">
        <v>173</v>
      </c>
      <c r="C78" s="156"/>
      <c r="D78" s="156"/>
      <c r="E78" s="156" t="s">
        <v>1092</v>
      </c>
      <c r="F78" s="156"/>
      <c r="G78" s="156"/>
      <c r="H78" s="156"/>
      <c r="I78" s="156"/>
      <c r="J78" s="156" t="s">
        <v>1091</v>
      </c>
      <c r="K78" s="156"/>
      <c r="L78" s="156"/>
      <c r="M78" s="156"/>
      <c r="N78" s="156"/>
      <c r="O78" s="156" t="s">
        <v>1093</v>
      </c>
      <c r="P78" s="156"/>
      <c r="Q78" s="156"/>
      <c r="R78" s="156"/>
      <c r="S78" s="156"/>
      <c r="T78" s="156" t="s">
        <v>2034</v>
      </c>
      <c r="U78" s="156"/>
      <c r="V78" s="158" t="s">
        <v>201</v>
      </c>
      <c r="W78" s="156" t="s">
        <v>2035</v>
      </c>
      <c r="X78" s="156"/>
    </row>
    <row r="79" spans="1:24" x14ac:dyDescent="0.25">
      <c r="A79" s="160"/>
      <c r="B79" s="48" t="s">
        <v>194</v>
      </c>
      <c r="C79" s="48" t="s">
        <v>195</v>
      </c>
      <c r="D79" s="48" t="s">
        <v>196</v>
      </c>
      <c r="E79" s="48" t="s">
        <v>197</v>
      </c>
      <c r="F79" s="48" t="s">
        <v>213</v>
      </c>
      <c r="G79" s="48" t="s">
        <v>214</v>
      </c>
      <c r="H79" s="48" t="s">
        <v>198</v>
      </c>
      <c r="I79" s="48" t="s">
        <v>204</v>
      </c>
      <c r="J79" s="48" t="s">
        <v>197</v>
      </c>
      <c r="K79" s="48" t="s">
        <v>213</v>
      </c>
      <c r="L79" s="48" t="s">
        <v>214</v>
      </c>
      <c r="M79" s="48" t="s">
        <v>198</v>
      </c>
      <c r="N79" s="48" t="s">
        <v>205</v>
      </c>
      <c r="O79" s="48" t="s">
        <v>197</v>
      </c>
      <c r="P79" s="48" t="s">
        <v>213</v>
      </c>
      <c r="Q79" s="48" t="s">
        <v>214</v>
      </c>
      <c r="R79" s="48" t="s">
        <v>198</v>
      </c>
      <c r="S79" s="48" t="s">
        <v>206</v>
      </c>
      <c r="T79" s="55" t="s">
        <v>207</v>
      </c>
      <c r="U79" s="55" t="s">
        <v>208</v>
      </c>
      <c r="V79" s="158"/>
      <c r="W79" s="55" t="s">
        <v>207</v>
      </c>
      <c r="X79" s="55" t="s">
        <v>208</v>
      </c>
    </row>
    <row r="80" spans="1:24" x14ac:dyDescent="0.25">
      <c r="A80" s="48" t="s">
        <v>209</v>
      </c>
      <c r="B80" s="1"/>
      <c r="C80" s="1"/>
      <c r="D80" s="1"/>
      <c r="E80" s="59"/>
      <c r="F80" s="48"/>
      <c r="G80" s="1"/>
      <c r="H80" s="48"/>
      <c r="I80" s="3"/>
      <c r="J80" s="1"/>
      <c r="K80" s="1"/>
      <c r="L80" s="1"/>
      <c r="M80" s="1"/>
      <c r="N80" s="1"/>
      <c r="O80" s="1"/>
      <c r="P80" s="48"/>
      <c r="Q80" s="1"/>
      <c r="R80" s="1"/>
      <c r="S80" s="1"/>
      <c r="T80" s="3">
        <f>0.8*($G$20*$G$5*($L$12-($L$13+$L$14))+$G$6*($L$13+$L$14)+$G$16*$L$15)/1000</f>
        <v>8476.8625010338856</v>
      </c>
      <c r="U80" s="1">
        <v>0</v>
      </c>
      <c r="V80" s="1">
        <f>$G$29</f>
        <v>0.65</v>
      </c>
      <c r="W80" s="3">
        <f>T80*V80</f>
        <v>5509.9606256720263</v>
      </c>
      <c r="X80" s="1">
        <f>U80*V80</f>
        <v>0</v>
      </c>
    </row>
    <row r="81" spans="1:24" x14ac:dyDescent="0.25">
      <c r="A81" s="1">
        <v>20</v>
      </c>
      <c r="B81" s="3">
        <f>Q19</f>
        <v>289</v>
      </c>
      <c r="C81" s="3">
        <f t="shared" ref="C81:C120" si="51">$G$20*B81</f>
        <v>245.65</v>
      </c>
      <c r="D81" s="1">
        <f t="shared" ref="D81:D120" si="52">0.85*$G$5*C81*$G$8/1000</f>
        <v>4860.9222</v>
      </c>
      <c r="E81" s="59">
        <f>ABS(B81-$Q$19)/B81*$G$21</f>
        <v>0</v>
      </c>
      <c r="F81" s="48" t="str">
        <f t="shared" ref="F81:F120" si="53">IF(E81&lt;$G$6/$G$7,"Belum","Sudah")</f>
        <v>Belum</v>
      </c>
      <c r="G81" s="1">
        <f t="shared" ref="G81" si="54">IF(F81="Sudah",$G$6,E81*$G$7)</f>
        <v>0</v>
      </c>
      <c r="H81" s="48" t="str">
        <f>IF(B81&gt;$Q$19,"Tekan","Tarik")</f>
        <v>Tarik</v>
      </c>
      <c r="I81" s="3">
        <f>$L$13*G81/1000*IF(H81="Tarik",-1,1)</f>
        <v>0</v>
      </c>
      <c r="J81" s="59">
        <f t="shared" ref="J81:J120" si="55">ABS(B81-$Q$20)/B81*$G$21</f>
        <v>1.7750865051903114E-3</v>
      </c>
      <c r="K81" s="48" t="str">
        <f t="shared" ref="K81:K120" si="56">IF(J81&lt;$G$6/$G$7,"Belum","Sudah")</f>
        <v>Belum</v>
      </c>
      <c r="L81" s="1">
        <f t="shared" ref="L81" si="57">IF(K81="Sudah",$G$6,J81*$G$7)</f>
        <v>355.01730103806227</v>
      </c>
      <c r="M81" s="48" t="str">
        <f>IF(B81&gt;$Q$20,"Tekan","Tarik")</f>
        <v>Tekan</v>
      </c>
      <c r="N81" s="3">
        <f>$L$14*(L81-$G$20*$G$5)/1000*IF(M81="Tarik",-1,1)</f>
        <v>463.77369121301695</v>
      </c>
      <c r="O81" s="59">
        <f>ABS(B81-$Q$21)/B81*$G$21</f>
        <v>3.0000000000000001E-3</v>
      </c>
      <c r="P81" s="48" t="str">
        <f>IF(O81&lt;$G$16/$G$17,"Belum","Sudah")</f>
        <v>Sudah</v>
      </c>
      <c r="Q81" s="1">
        <f t="shared" ref="Q81" si="58">IF(P81="Sudah",$G$16,O81*$G$17)</f>
        <v>245</v>
      </c>
      <c r="R81" s="48" t="str">
        <f>IF(B81&gt;$Q$21,"Tekan","Tarik")</f>
        <v>Tekan</v>
      </c>
      <c r="S81" s="3">
        <f t="shared" ref="S81" si="59">$L$15*Q81/1000*IF(R81="Tarik",-1,1)</f>
        <v>2187.36</v>
      </c>
      <c r="T81" s="3">
        <f>(D81+I81+N81+S81)</f>
        <v>7512.0558912130164</v>
      </c>
      <c r="U81" s="60">
        <f>-(D81*($G$9/2-C81/2)-I81*ABS($G$9/2-$Q$19)+N81*ABS($G$9/2-$Q$20)+S81*ABS($G$9/2-$Q$21))/1000</f>
        <v>-662.84171618414189</v>
      </c>
      <c r="V81" s="1">
        <f>IF(E81&lt;0.002,$G$29,IF(E81&gt;0.005,0.9,0.65+(E81-0.002)*(250/3)))</f>
        <v>0.65</v>
      </c>
      <c r="W81" s="3">
        <f t="shared" ref="W81:W121" si="60">T81*V81</f>
        <v>4882.8363292884605</v>
      </c>
      <c r="X81" s="3">
        <f>U81*V81</f>
        <v>-430.84711551969224</v>
      </c>
    </row>
    <row r="82" spans="1:24" x14ac:dyDescent="0.25">
      <c r="A82" s="1">
        <v>19</v>
      </c>
      <c r="B82" s="3">
        <f t="shared" ref="B82:B100" si="61">$B$101+(A82/20*($B$81-$B$101))</f>
        <v>283.30757575757576</v>
      </c>
      <c r="C82" s="3">
        <f t="shared" si="51"/>
        <v>240.81143939393939</v>
      </c>
      <c r="D82" s="1">
        <f t="shared" si="52"/>
        <v>4765.1767627272729</v>
      </c>
      <c r="E82" s="59">
        <f t="shared" ref="E82:E111" si="62">ABS(B82-$Q$19)/B82*$G$21</f>
        <v>6.0278207109737198E-5</v>
      </c>
      <c r="F82" s="48" t="str">
        <f t="shared" si="53"/>
        <v>Belum</v>
      </c>
      <c r="G82" s="1">
        <f t="shared" ref="G82:G111" si="63">IF(F82="Sudah",$G$6,E82*$G$7)</f>
        <v>12.05564142194744</v>
      </c>
      <c r="H82" s="48" t="str">
        <f t="shared" ref="H82:H111" si="64">IF(B82&gt;$Q$19,"Tekan","Tarik")</f>
        <v>Tarik</v>
      </c>
      <c r="I82" s="3">
        <f t="shared" ref="I82:I111" si="65">$L$13*G82/1000*IF(H82="Tarik",-1,1)</f>
        <v>-32.079205603100945</v>
      </c>
      <c r="J82" s="59">
        <f t="shared" si="55"/>
        <v>1.7504746420797614E-3</v>
      </c>
      <c r="K82" s="48" t="str">
        <f t="shared" si="56"/>
        <v>Belum</v>
      </c>
      <c r="L82" s="1">
        <f t="shared" ref="L82:L111" si="66">IF(K82="Sudah",$G$6,J82*$G$7)</f>
        <v>350.09492841595227</v>
      </c>
      <c r="M82" s="48" t="str">
        <f t="shared" ref="M82:M111" si="67">IF(B82&gt;$Q$20,"Tekan","Tarik")</f>
        <v>Tekan</v>
      </c>
      <c r="N82" s="3">
        <f t="shared" ref="N82:N111" si="68">$L$14*(L82-$G$20*$G$5)/1000*IF(M82="Tarik",-1,1)</f>
        <v>456.84577904181913</v>
      </c>
      <c r="O82" s="59">
        <f t="shared" ref="O82:O120" si="69">ABS(B82-$Q$21)/B82*$G$21</f>
        <v>3.0000000000000001E-3</v>
      </c>
      <c r="P82" s="48" t="str">
        <f t="shared" ref="P82:P120" si="70">IF(O82&lt;$G$16/$G$17,"Belum","Sudah")</f>
        <v>Sudah</v>
      </c>
      <c r="Q82" s="1">
        <f t="shared" ref="Q82:Q111" si="71">IF(P82="Sudah",$G$16,O82*$G$17)</f>
        <v>245</v>
      </c>
      <c r="R82" s="48" t="str">
        <f t="shared" ref="R82:R111" si="72">IF(B82&gt;$Q$21,"Tekan","Tarik")</f>
        <v>Tekan</v>
      </c>
      <c r="S82" s="3">
        <f t="shared" ref="S82:S111" si="73">$L$15*Q82/1000*IF(R82="Tarik",-1,1)</f>
        <v>2187.36</v>
      </c>
      <c r="T82" s="3">
        <f t="shared" ref="T82:T121" si="74">(D82+I82+N82+S82)</f>
        <v>7377.3033361659909</v>
      </c>
      <c r="U82" s="60">
        <f t="shared" ref="U82:U121" si="75">-(D82*($G$9/2-C82/2)-I82*ABS($G$9/2-$Q$19)+N82*ABS($G$9/2-$Q$20)+S82*ABS($G$9/2-$Q$21))/1000</f>
        <v>-672.6366347219564</v>
      </c>
      <c r="V82" s="1">
        <f t="shared" ref="V82:V121" si="76">IF(E82&lt;0.002,$G$29,IF(E82&gt;0.005,0.9,0.65+(E82-0.002)*(250/3)))</f>
        <v>0.65</v>
      </c>
      <c r="W82" s="3">
        <f t="shared" si="60"/>
        <v>4795.2471685078945</v>
      </c>
      <c r="X82" s="3">
        <f t="shared" ref="X82:X121" si="77">U82*V82</f>
        <v>-437.21381256927168</v>
      </c>
    </row>
    <row r="83" spans="1:24" x14ac:dyDescent="0.25">
      <c r="A83" s="1">
        <v>18</v>
      </c>
      <c r="B83" s="3">
        <f t="shared" si="61"/>
        <v>277.61515151515152</v>
      </c>
      <c r="C83" s="3">
        <f t="shared" si="51"/>
        <v>235.97287878787878</v>
      </c>
      <c r="D83" s="1">
        <f t="shared" si="52"/>
        <v>4669.431325454545</v>
      </c>
      <c r="E83" s="59">
        <f t="shared" si="62"/>
        <v>1.2302839116719232E-4</v>
      </c>
      <c r="F83" s="48" t="str">
        <f t="shared" si="53"/>
        <v>Belum</v>
      </c>
      <c r="G83" s="1">
        <f t="shared" si="63"/>
        <v>24.605678233438464</v>
      </c>
      <c r="H83" s="48" t="str">
        <f t="shared" si="64"/>
        <v>Tarik</v>
      </c>
      <c r="I83" s="3">
        <f t="shared" si="65"/>
        <v>-65.473962224625581</v>
      </c>
      <c r="J83" s="59">
        <f t="shared" si="55"/>
        <v>1.7248534596618387E-3</v>
      </c>
      <c r="K83" s="48" t="str">
        <f t="shared" si="56"/>
        <v>Belum</v>
      </c>
      <c r="L83" s="1">
        <f t="shared" si="66"/>
        <v>344.97069193236774</v>
      </c>
      <c r="M83" s="48" t="str">
        <f t="shared" si="67"/>
        <v>Tekan</v>
      </c>
      <c r="N83" s="3">
        <f t="shared" si="68"/>
        <v>449.63375690776456</v>
      </c>
      <c r="O83" s="59">
        <f t="shared" si="69"/>
        <v>3.0000000000000001E-3</v>
      </c>
      <c r="P83" s="48" t="str">
        <f t="shared" si="70"/>
        <v>Sudah</v>
      </c>
      <c r="Q83" s="1">
        <f t="shared" si="71"/>
        <v>245</v>
      </c>
      <c r="R83" s="48" t="str">
        <f t="shared" si="72"/>
        <v>Tekan</v>
      </c>
      <c r="S83" s="3">
        <f t="shared" si="73"/>
        <v>2187.36</v>
      </c>
      <c r="T83" s="3">
        <f t="shared" si="74"/>
        <v>7240.9511201376845</v>
      </c>
      <c r="U83" s="60">
        <f t="shared" si="75"/>
        <v>-682.10206170699064</v>
      </c>
      <c r="V83" s="1">
        <f t="shared" si="76"/>
        <v>0.65</v>
      </c>
      <c r="W83" s="3">
        <f t="shared" si="60"/>
        <v>4706.6182280894955</v>
      </c>
      <c r="X83" s="3">
        <f t="shared" si="77"/>
        <v>-443.36634010954396</v>
      </c>
    </row>
    <row r="84" spans="1:24" x14ac:dyDescent="0.25">
      <c r="A84" s="1">
        <v>17</v>
      </c>
      <c r="B84" s="3">
        <f t="shared" si="61"/>
        <v>271.92272727272729</v>
      </c>
      <c r="C84" s="3">
        <f t="shared" si="51"/>
        <v>231.13431818181817</v>
      </c>
      <c r="D84" s="1">
        <f t="shared" si="52"/>
        <v>4573.6858881818189</v>
      </c>
      <c r="E84" s="59">
        <f t="shared" si="62"/>
        <v>1.8840579710144911E-4</v>
      </c>
      <c r="F84" s="48" t="str">
        <f t="shared" si="53"/>
        <v>Belum</v>
      </c>
      <c r="G84" s="1">
        <f t="shared" si="63"/>
        <v>37.681159420289823</v>
      </c>
      <c r="H84" s="48" t="str">
        <f t="shared" si="64"/>
        <v>Tarik</v>
      </c>
      <c r="I84" s="3">
        <f t="shared" si="65"/>
        <v>-100.2668890106585</v>
      </c>
      <c r="J84" s="59">
        <f t="shared" si="55"/>
        <v>1.6981595707336644E-3</v>
      </c>
      <c r="K84" s="48" t="str">
        <f t="shared" si="56"/>
        <v>Belum</v>
      </c>
      <c r="L84" s="1">
        <f t="shared" si="66"/>
        <v>339.63191414673287</v>
      </c>
      <c r="M84" s="48" t="str">
        <f t="shared" si="67"/>
        <v>Tekan</v>
      </c>
      <c r="N84" s="3">
        <f t="shared" si="68"/>
        <v>442.11978215618103</v>
      </c>
      <c r="O84" s="59">
        <f t="shared" si="69"/>
        <v>3.0000000000000001E-3</v>
      </c>
      <c r="P84" s="48" t="str">
        <f t="shared" si="70"/>
        <v>Sudah</v>
      </c>
      <c r="Q84" s="1">
        <f t="shared" si="71"/>
        <v>245</v>
      </c>
      <c r="R84" s="48" t="str">
        <f t="shared" si="72"/>
        <v>Tekan</v>
      </c>
      <c r="S84" s="3">
        <f t="shared" si="73"/>
        <v>2187.36</v>
      </c>
      <c r="T84" s="3">
        <f t="shared" si="74"/>
        <v>7102.8987813273416</v>
      </c>
      <c r="U84" s="60">
        <f t="shared" si="75"/>
        <v>-691.2463986905816</v>
      </c>
      <c r="V84" s="1">
        <f t="shared" si="76"/>
        <v>0.65</v>
      </c>
      <c r="W84" s="3">
        <f t="shared" si="60"/>
        <v>4616.8842078627722</v>
      </c>
      <c r="X84" s="3">
        <f t="shared" si="77"/>
        <v>-449.31015914887803</v>
      </c>
    </row>
    <row r="85" spans="1:24" x14ac:dyDescent="0.25">
      <c r="A85" s="1">
        <v>16</v>
      </c>
      <c r="B85" s="3">
        <f t="shared" si="61"/>
        <v>266.23030303030305</v>
      </c>
      <c r="C85" s="3">
        <f t="shared" si="51"/>
        <v>226.29575757575759</v>
      </c>
      <c r="D85" s="1">
        <f t="shared" si="52"/>
        <v>4477.9404509090909</v>
      </c>
      <c r="E85" s="59">
        <f t="shared" si="62"/>
        <v>2.5657894736842084E-4</v>
      </c>
      <c r="F85" s="48" t="str">
        <f t="shared" si="53"/>
        <v>Belum</v>
      </c>
      <c r="G85" s="1">
        <f t="shared" si="63"/>
        <v>51.31578947368417</v>
      </c>
      <c r="H85" s="48" t="str">
        <f t="shared" si="64"/>
        <v>Tarik</v>
      </c>
      <c r="I85" s="3">
        <f t="shared" si="65"/>
        <v>-136.54767121846257</v>
      </c>
      <c r="J85" s="59">
        <f t="shared" si="55"/>
        <v>1.6703241668184303E-3</v>
      </c>
      <c r="K85" s="48" t="str">
        <f t="shared" si="56"/>
        <v>Belum</v>
      </c>
      <c r="L85" s="1">
        <f t="shared" si="66"/>
        <v>334.06483336368609</v>
      </c>
      <c r="M85" s="48" t="str">
        <f t="shared" si="67"/>
        <v>Tekan</v>
      </c>
      <c r="N85" s="3">
        <f t="shared" si="68"/>
        <v>434.28448611587868</v>
      </c>
      <c r="O85" s="59">
        <f t="shared" si="69"/>
        <v>3.0000000000000001E-3</v>
      </c>
      <c r="P85" s="48" t="str">
        <f t="shared" si="70"/>
        <v>Sudah</v>
      </c>
      <c r="Q85" s="1">
        <f t="shared" si="71"/>
        <v>245</v>
      </c>
      <c r="R85" s="48" t="str">
        <f t="shared" si="72"/>
        <v>Tekan</v>
      </c>
      <c r="S85" s="3">
        <f t="shared" si="73"/>
        <v>2187.36</v>
      </c>
      <c r="T85" s="3">
        <f t="shared" si="74"/>
        <v>6963.0372658065062</v>
      </c>
      <c r="U85" s="60">
        <f t="shared" si="75"/>
        <v>-700.0787657777995</v>
      </c>
      <c r="V85" s="1">
        <f t="shared" si="76"/>
        <v>0.65</v>
      </c>
      <c r="W85" s="3">
        <f t="shared" si="60"/>
        <v>4525.974222774229</v>
      </c>
      <c r="X85" s="3">
        <f t="shared" si="77"/>
        <v>-455.05119775556972</v>
      </c>
    </row>
    <row r="86" spans="1:24" x14ac:dyDescent="0.25">
      <c r="A86" s="1">
        <v>15</v>
      </c>
      <c r="B86" s="3">
        <f t="shared" si="61"/>
        <v>260.53787878787875</v>
      </c>
      <c r="C86" s="3">
        <f t="shared" si="51"/>
        <v>221.45719696969692</v>
      </c>
      <c r="D86" s="1">
        <f t="shared" si="52"/>
        <v>4382.195013636363</v>
      </c>
      <c r="E86" s="59">
        <f t="shared" si="62"/>
        <v>3.2773109243697528E-4</v>
      </c>
      <c r="F86" s="48" t="str">
        <f t="shared" si="53"/>
        <v>Belum</v>
      </c>
      <c r="G86" s="1">
        <f t="shared" si="63"/>
        <v>65.546218487395052</v>
      </c>
      <c r="H86" s="48" t="str">
        <f t="shared" si="64"/>
        <v>Tarik</v>
      </c>
      <c r="I86" s="3">
        <f t="shared" si="65"/>
        <v>-174.41383214459125</v>
      </c>
      <c r="J86" s="59">
        <f t="shared" si="55"/>
        <v>1.6412724259253872E-3</v>
      </c>
      <c r="K86" s="48" t="str">
        <f t="shared" si="56"/>
        <v>Belum</v>
      </c>
      <c r="L86" s="1">
        <f t="shared" si="66"/>
        <v>328.25448518507744</v>
      </c>
      <c r="M86" s="48" t="str">
        <f t="shared" si="67"/>
        <v>Tekan</v>
      </c>
      <c r="N86" s="3">
        <f t="shared" si="68"/>
        <v>426.10680739146204</v>
      </c>
      <c r="O86" s="59">
        <f t="shared" si="69"/>
        <v>3.0000000000000001E-3</v>
      </c>
      <c r="P86" s="48" t="str">
        <f t="shared" si="70"/>
        <v>Sudah</v>
      </c>
      <c r="Q86" s="1">
        <f t="shared" si="71"/>
        <v>245</v>
      </c>
      <c r="R86" s="48" t="str">
        <f t="shared" si="72"/>
        <v>Tekan</v>
      </c>
      <c r="S86" s="3">
        <f t="shared" si="73"/>
        <v>2187.36</v>
      </c>
      <c r="T86" s="3">
        <f t="shared" si="74"/>
        <v>6821.2479888832331</v>
      </c>
      <c r="U86" s="60">
        <f t="shared" si="75"/>
        <v>-708.60908012491439</v>
      </c>
      <c r="V86" s="1">
        <f t="shared" si="76"/>
        <v>0.65</v>
      </c>
      <c r="W86" s="3">
        <f t="shared" si="60"/>
        <v>4433.811192774102</v>
      </c>
      <c r="X86" s="3">
        <f t="shared" si="77"/>
        <v>-460.59590208119437</v>
      </c>
    </row>
    <row r="87" spans="1:24" x14ac:dyDescent="0.25">
      <c r="A87" s="1">
        <v>14</v>
      </c>
      <c r="B87" s="3">
        <f t="shared" si="61"/>
        <v>254.84545454545454</v>
      </c>
      <c r="C87" s="3">
        <f t="shared" si="51"/>
        <v>216.61863636363637</v>
      </c>
      <c r="D87" s="1">
        <f t="shared" si="52"/>
        <v>4286.449576363636</v>
      </c>
      <c r="E87" s="59">
        <f t="shared" si="62"/>
        <v>4.0206185567010308E-4</v>
      </c>
      <c r="F87" s="48" t="str">
        <f t="shared" si="53"/>
        <v>Belum</v>
      </c>
      <c r="G87" s="1">
        <f t="shared" si="63"/>
        <v>80.412371134020617</v>
      </c>
      <c r="H87" s="48" t="str">
        <f t="shared" si="64"/>
        <v>Tarik</v>
      </c>
      <c r="I87" s="3">
        <f t="shared" si="65"/>
        <v>-213.97160850728173</v>
      </c>
      <c r="J87" s="59">
        <f t="shared" si="55"/>
        <v>1.6109228409374665E-3</v>
      </c>
      <c r="K87" s="48" t="str">
        <f t="shared" si="56"/>
        <v>Belum</v>
      </c>
      <c r="L87" s="1">
        <f t="shared" si="66"/>
        <v>322.18456818749331</v>
      </c>
      <c r="M87" s="48" t="str">
        <f t="shared" si="67"/>
        <v>Tekan</v>
      </c>
      <c r="N87" s="3">
        <f t="shared" si="68"/>
        <v>417.56380281337749</v>
      </c>
      <c r="O87" s="59">
        <f t="shared" si="69"/>
        <v>3.0000000000000001E-3</v>
      </c>
      <c r="P87" s="48" t="str">
        <f t="shared" si="70"/>
        <v>Sudah</v>
      </c>
      <c r="Q87" s="1">
        <f t="shared" si="71"/>
        <v>245</v>
      </c>
      <c r="R87" s="48" t="str">
        <f t="shared" si="72"/>
        <v>Tekan</v>
      </c>
      <c r="S87" s="3">
        <f t="shared" si="73"/>
        <v>2187.36</v>
      </c>
      <c r="T87" s="3">
        <f t="shared" si="74"/>
        <v>6677.4017706697323</v>
      </c>
      <c r="U87" s="60">
        <f t="shared" si="75"/>
        <v>-716.84814495714011</v>
      </c>
      <c r="V87" s="1">
        <f t="shared" si="76"/>
        <v>0.65</v>
      </c>
      <c r="W87" s="3">
        <f t="shared" si="60"/>
        <v>4340.3111509353257</v>
      </c>
      <c r="X87" s="3">
        <f t="shared" si="77"/>
        <v>-465.95129422214109</v>
      </c>
    </row>
    <row r="88" spans="1:24" x14ac:dyDescent="0.25">
      <c r="A88" s="1">
        <v>13</v>
      </c>
      <c r="B88" s="3">
        <f t="shared" si="61"/>
        <v>249.15303030303031</v>
      </c>
      <c r="C88" s="3">
        <f t="shared" si="51"/>
        <v>211.78007575757576</v>
      </c>
      <c r="D88" s="1">
        <f t="shared" si="52"/>
        <v>4190.7041390909089</v>
      </c>
      <c r="E88" s="59">
        <f t="shared" si="62"/>
        <v>4.7978910369068537E-4</v>
      </c>
      <c r="F88" s="48" t="str">
        <f t="shared" si="53"/>
        <v>Belum</v>
      </c>
      <c r="G88" s="1">
        <f t="shared" si="63"/>
        <v>95.957820738137073</v>
      </c>
      <c r="H88" s="48" t="str">
        <f t="shared" si="64"/>
        <v>Tarik</v>
      </c>
      <c r="I88" s="3">
        <f t="shared" si="65"/>
        <v>-255.33694582854883</v>
      </c>
      <c r="J88" s="59">
        <f t="shared" si="55"/>
        <v>1.5791864559325231E-3</v>
      </c>
      <c r="K88" s="48" t="str">
        <f t="shared" si="56"/>
        <v>Belum</v>
      </c>
      <c r="L88" s="1">
        <f t="shared" si="66"/>
        <v>315.83729118650461</v>
      </c>
      <c r="M88" s="48" t="str">
        <f t="shared" si="67"/>
        <v>Tekan</v>
      </c>
      <c r="N88" s="3">
        <f t="shared" si="68"/>
        <v>408.63043247249823</v>
      </c>
      <c r="O88" s="59">
        <f t="shared" si="69"/>
        <v>3.0000000000000001E-3</v>
      </c>
      <c r="P88" s="48" t="str">
        <f t="shared" si="70"/>
        <v>Sudah</v>
      </c>
      <c r="Q88" s="1">
        <f t="shared" si="71"/>
        <v>245</v>
      </c>
      <c r="R88" s="48" t="str">
        <f t="shared" si="72"/>
        <v>Tekan</v>
      </c>
      <c r="S88" s="3">
        <f t="shared" si="73"/>
        <v>2187.36</v>
      </c>
      <c r="T88" s="3">
        <f t="shared" si="74"/>
        <v>6531.3576257348577</v>
      </c>
      <c r="U88" s="60">
        <f t="shared" si="75"/>
        <v>-724.80775078916645</v>
      </c>
      <c r="V88" s="1">
        <f t="shared" si="76"/>
        <v>0.65</v>
      </c>
      <c r="W88" s="3">
        <f t="shared" si="60"/>
        <v>4245.3824567276579</v>
      </c>
      <c r="X88" s="3">
        <f t="shared" si="77"/>
        <v>-471.12503801295821</v>
      </c>
    </row>
    <row r="89" spans="1:24" x14ac:dyDescent="0.25">
      <c r="A89" s="1">
        <v>12</v>
      </c>
      <c r="B89" s="3">
        <f t="shared" si="61"/>
        <v>243.46060606060604</v>
      </c>
      <c r="C89" s="3">
        <f t="shared" si="51"/>
        <v>206.94151515151512</v>
      </c>
      <c r="D89" s="1">
        <f t="shared" si="52"/>
        <v>4094.958701818181</v>
      </c>
      <c r="E89" s="59">
        <f t="shared" si="62"/>
        <v>5.6115107913669098E-4</v>
      </c>
      <c r="F89" s="48" t="str">
        <f t="shared" si="53"/>
        <v>Belum</v>
      </c>
      <c r="G89" s="1">
        <f t="shared" si="63"/>
        <v>112.2302158273382</v>
      </c>
      <c r="H89" s="48" t="str">
        <f t="shared" si="64"/>
        <v>Tarik</v>
      </c>
      <c r="I89" s="3">
        <f t="shared" si="65"/>
        <v>-298.63663345620637</v>
      </c>
      <c r="J89" s="59">
        <f t="shared" si="55"/>
        <v>1.545965995369794E-3</v>
      </c>
      <c r="K89" s="48" t="str">
        <f t="shared" si="56"/>
        <v>Belum</v>
      </c>
      <c r="L89" s="1">
        <f t="shared" si="66"/>
        <v>309.19319907395879</v>
      </c>
      <c r="M89" s="48" t="str">
        <f t="shared" si="67"/>
        <v>Tekan</v>
      </c>
      <c r="N89" s="3">
        <f t="shared" si="68"/>
        <v>399.27931459769275</v>
      </c>
      <c r="O89" s="59">
        <f t="shared" si="69"/>
        <v>3.0000000000000001E-3</v>
      </c>
      <c r="P89" s="48" t="str">
        <f t="shared" si="70"/>
        <v>Sudah</v>
      </c>
      <c r="Q89" s="1">
        <f t="shared" si="71"/>
        <v>245</v>
      </c>
      <c r="R89" s="48" t="str">
        <f t="shared" si="72"/>
        <v>Tekan</v>
      </c>
      <c r="S89" s="3">
        <f t="shared" si="73"/>
        <v>2187.36</v>
      </c>
      <c r="T89" s="3">
        <f t="shared" si="74"/>
        <v>6382.9613829596674</v>
      </c>
      <c r="U89" s="60">
        <f t="shared" si="75"/>
        <v>-732.50079084568983</v>
      </c>
      <c r="V89" s="1">
        <f t="shared" si="76"/>
        <v>0.65</v>
      </c>
      <c r="W89" s="3">
        <f t="shared" si="60"/>
        <v>4148.924898923784</v>
      </c>
      <c r="X89" s="3">
        <f t="shared" si="77"/>
        <v>-476.12551404969838</v>
      </c>
    </row>
    <row r="90" spans="1:24" x14ac:dyDescent="0.25">
      <c r="A90" s="1">
        <v>11</v>
      </c>
      <c r="B90" s="3">
        <f t="shared" si="61"/>
        <v>237.76818181818183</v>
      </c>
      <c r="C90" s="3">
        <f t="shared" si="51"/>
        <v>202.10295454545454</v>
      </c>
      <c r="D90" s="1">
        <f t="shared" si="52"/>
        <v>3999.213264545454</v>
      </c>
      <c r="E90" s="59">
        <f t="shared" si="62"/>
        <v>6.4640883977900535E-4</v>
      </c>
      <c r="F90" s="48" t="str">
        <f t="shared" si="53"/>
        <v>Belum</v>
      </c>
      <c r="G90" s="1">
        <f t="shared" si="63"/>
        <v>129.28176795580106</v>
      </c>
      <c r="H90" s="48" t="str">
        <f t="shared" si="64"/>
        <v>Tarik</v>
      </c>
      <c r="I90" s="3">
        <f t="shared" si="65"/>
        <v>-344.00960262772907</v>
      </c>
      <c r="J90" s="59">
        <f t="shared" si="55"/>
        <v>1.511154868187119E-3</v>
      </c>
      <c r="K90" s="48" t="str">
        <f t="shared" si="56"/>
        <v>Belum</v>
      </c>
      <c r="L90" s="1">
        <f t="shared" si="66"/>
        <v>302.2309736374238</v>
      </c>
      <c r="M90" s="48" t="str">
        <f t="shared" si="67"/>
        <v>Tekan</v>
      </c>
      <c r="N90" s="3">
        <f t="shared" si="68"/>
        <v>389.48044522243646</v>
      </c>
      <c r="O90" s="59">
        <f t="shared" si="69"/>
        <v>3.0000000000000001E-3</v>
      </c>
      <c r="P90" s="48" t="str">
        <f t="shared" si="70"/>
        <v>Sudah</v>
      </c>
      <c r="Q90" s="1">
        <f t="shared" si="71"/>
        <v>245</v>
      </c>
      <c r="R90" s="48" t="str">
        <f t="shared" si="72"/>
        <v>Tekan</v>
      </c>
      <c r="S90" s="3">
        <f t="shared" si="73"/>
        <v>2187.36</v>
      </c>
      <c r="T90" s="3">
        <f t="shared" si="74"/>
        <v>6232.0441071401619</v>
      </c>
      <c r="U90" s="60">
        <f t="shared" si="75"/>
        <v>-739.94139306169006</v>
      </c>
      <c r="V90" s="1">
        <f t="shared" si="76"/>
        <v>0.65</v>
      </c>
      <c r="W90" s="3">
        <f t="shared" si="60"/>
        <v>4050.8286696411055</v>
      </c>
      <c r="X90" s="3">
        <f t="shared" si="77"/>
        <v>-480.96190549009856</v>
      </c>
    </row>
    <row r="91" spans="1:24" x14ac:dyDescent="0.25">
      <c r="A91" s="1">
        <v>10</v>
      </c>
      <c r="B91" s="3">
        <f t="shared" si="61"/>
        <v>232.07575757575756</v>
      </c>
      <c r="C91" s="3">
        <f t="shared" si="51"/>
        <v>197.26439393939393</v>
      </c>
      <c r="D91" s="1">
        <f t="shared" si="52"/>
        <v>3903.4678272727269</v>
      </c>
      <c r="E91" s="59">
        <f t="shared" si="62"/>
        <v>7.3584905660377376E-4</v>
      </c>
      <c r="F91" s="48" t="str">
        <f t="shared" si="53"/>
        <v>Belum</v>
      </c>
      <c r="G91" s="1">
        <f t="shared" si="63"/>
        <v>147.16981132075475</v>
      </c>
      <c r="H91" s="48" t="str">
        <f t="shared" si="64"/>
        <v>Tarik</v>
      </c>
      <c r="I91" s="3">
        <f t="shared" si="65"/>
        <v>-391.6084155699308</v>
      </c>
      <c r="J91" s="59">
        <f t="shared" si="55"/>
        <v>1.4746360253313313E-3</v>
      </c>
      <c r="K91" s="48" t="str">
        <f t="shared" si="56"/>
        <v>Belum</v>
      </c>
      <c r="L91" s="1">
        <f t="shared" si="66"/>
        <v>294.92720506626625</v>
      </c>
      <c r="M91" s="48" t="str">
        <f t="shared" si="67"/>
        <v>Tekan</v>
      </c>
      <c r="N91" s="3">
        <f t="shared" si="68"/>
        <v>379.2008765948089</v>
      </c>
      <c r="O91" s="59">
        <f t="shared" si="69"/>
        <v>3.0000000000000001E-3</v>
      </c>
      <c r="P91" s="48" t="str">
        <f t="shared" si="70"/>
        <v>Sudah</v>
      </c>
      <c r="Q91" s="1">
        <f t="shared" si="71"/>
        <v>245</v>
      </c>
      <c r="R91" s="48" t="str">
        <f t="shared" si="72"/>
        <v>Tekan</v>
      </c>
      <c r="S91" s="3">
        <f t="shared" si="73"/>
        <v>2187.36</v>
      </c>
      <c r="T91" s="3">
        <f t="shared" si="74"/>
        <v>6078.4202882976051</v>
      </c>
      <c r="U91" s="60">
        <f t="shared" si="75"/>
        <v>-747.14507150916472</v>
      </c>
      <c r="V91" s="1">
        <f t="shared" si="76"/>
        <v>0.65</v>
      </c>
      <c r="W91" s="3">
        <f t="shared" si="60"/>
        <v>3950.9731873934434</v>
      </c>
      <c r="X91" s="3">
        <f t="shared" si="77"/>
        <v>-485.64429648095711</v>
      </c>
    </row>
    <row r="92" spans="1:24" x14ac:dyDescent="0.25">
      <c r="A92" s="1">
        <v>9</v>
      </c>
      <c r="B92" s="3">
        <f t="shared" si="61"/>
        <v>226.38333333333333</v>
      </c>
      <c r="C92" s="3">
        <f t="shared" si="51"/>
        <v>192.42583333333332</v>
      </c>
      <c r="D92" s="1">
        <f t="shared" si="52"/>
        <v>3807.7223899999995</v>
      </c>
      <c r="E92" s="59">
        <f t="shared" si="62"/>
        <v>8.2978723404255337E-4</v>
      </c>
      <c r="F92" s="48" t="str">
        <f t="shared" si="53"/>
        <v>Belum</v>
      </c>
      <c r="G92" s="1">
        <f t="shared" si="63"/>
        <v>165.95744680851067</v>
      </c>
      <c r="H92" s="48" t="str">
        <f t="shared" si="64"/>
        <v>Tarik</v>
      </c>
      <c r="I92" s="3">
        <f t="shared" si="65"/>
        <v>-441.60097925970916</v>
      </c>
      <c r="J92" s="59">
        <f t="shared" si="55"/>
        <v>1.4362806449238017E-3</v>
      </c>
      <c r="K92" s="48" t="str">
        <f t="shared" si="56"/>
        <v>Belum</v>
      </c>
      <c r="L92" s="1">
        <f t="shared" si="66"/>
        <v>287.25612898476032</v>
      </c>
      <c r="M92" s="48" t="str">
        <f t="shared" si="67"/>
        <v>Tekan</v>
      </c>
      <c r="N92" s="3">
        <f t="shared" si="68"/>
        <v>368.40434706908019</v>
      </c>
      <c r="O92" s="59">
        <f t="shared" si="69"/>
        <v>3.0000000000000001E-3</v>
      </c>
      <c r="P92" s="48" t="str">
        <f t="shared" si="70"/>
        <v>Sudah</v>
      </c>
      <c r="Q92" s="1">
        <f t="shared" si="71"/>
        <v>245</v>
      </c>
      <c r="R92" s="48" t="str">
        <f t="shared" si="72"/>
        <v>Tekan</v>
      </c>
      <c r="S92" s="3">
        <f t="shared" si="73"/>
        <v>2187.36</v>
      </c>
      <c r="T92" s="3">
        <f t="shared" si="74"/>
        <v>5921.8857578093703</v>
      </c>
      <c r="U92" s="60">
        <f t="shared" si="75"/>
        <v>-754.12890066967373</v>
      </c>
      <c r="V92" s="1">
        <f t="shared" si="76"/>
        <v>0.65</v>
      </c>
      <c r="W92" s="3">
        <f t="shared" si="60"/>
        <v>3849.2257425760909</v>
      </c>
      <c r="X92" s="3">
        <f t="shared" si="77"/>
        <v>-490.18378543528792</v>
      </c>
    </row>
    <row r="93" spans="1:24" x14ac:dyDescent="0.25">
      <c r="A93" s="1">
        <v>8</v>
      </c>
      <c r="B93" s="3">
        <f t="shared" si="61"/>
        <v>220.69090909090909</v>
      </c>
      <c r="C93" s="3">
        <f t="shared" si="51"/>
        <v>187.58727272727273</v>
      </c>
      <c r="D93" s="1">
        <f t="shared" si="52"/>
        <v>3711.9769527272724</v>
      </c>
      <c r="E93" s="59">
        <f t="shared" si="62"/>
        <v>9.2857142857142867E-4</v>
      </c>
      <c r="F93" s="48" t="str">
        <f t="shared" si="53"/>
        <v>Belum</v>
      </c>
      <c r="G93" s="1">
        <f t="shared" si="63"/>
        <v>185.71428571428572</v>
      </c>
      <c r="H93" s="48" t="str">
        <f t="shared" si="64"/>
        <v>Tarik</v>
      </c>
      <c r="I93" s="3">
        <f t="shared" si="65"/>
        <v>-494.17252440967451</v>
      </c>
      <c r="J93" s="59">
        <f t="shared" si="55"/>
        <v>1.3959466139396935E-3</v>
      </c>
      <c r="K93" s="48" t="str">
        <f t="shared" si="56"/>
        <v>Belum</v>
      </c>
      <c r="L93" s="1">
        <f t="shared" si="66"/>
        <v>279.18932278793869</v>
      </c>
      <c r="M93" s="48" t="str">
        <f t="shared" si="67"/>
        <v>Tekan</v>
      </c>
      <c r="N93" s="3">
        <f t="shared" si="68"/>
        <v>357.05085371861151</v>
      </c>
      <c r="O93" s="59">
        <f t="shared" si="69"/>
        <v>3.0000000000000001E-3</v>
      </c>
      <c r="P93" s="48" t="str">
        <f t="shared" si="70"/>
        <v>Sudah</v>
      </c>
      <c r="Q93" s="1">
        <f t="shared" si="71"/>
        <v>245</v>
      </c>
      <c r="R93" s="48" t="str">
        <f t="shared" si="72"/>
        <v>Tekan</v>
      </c>
      <c r="S93" s="3">
        <f t="shared" si="73"/>
        <v>2187.36</v>
      </c>
      <c r="T93" s="3">
        <f t="shared" si="74"/>
        <v>5762.2152820362098</v>
      </c>
      <c r="U93" s="60">
        <f t="shared" si="75"/>
        <v>-760.9117166776357</v>
      </c>
      <c r="V93" s="1">
        <f t="shared" si="76"/>
        <v>0.65</v>
      </c>
      <c r="W93" s="3">
        <f t="shared" si="60"/>
        <v>3745.4399333235365</v>
      </c>
      <c r="X93" s="3">
        <f t="shared" si="77"/>
        <v>-494.59261584046322</v>
      </c>
    </row>
    <row r="94" spans="1:24" x14ac:dyDescent="0.25">
      <c r="A94" s="1">
        <v>7</v>
      </c>
      <c r="B94" s="3">
        <f t="shared" si="61"/>
        <v>214.99848484848485</v>
      </c>
      <c r="C94" s="3">
        <f t="shared" si="51"/>
        <v>182.74871212121212</v>
      </c>
      <c r="D94" s="1">
        <f t="shared" si="52"/>
        <v>3616.2315154545458</v>
      </c>
      <c r="E94" s="59">
        <f t="shared" si="62"/>
        <v>1.0325865580448064E-3</v>
      </c>
      <c r="F94" s="48" t="str">
        <f t="shared" si="53"/>
        <v>Belum</v>
      </c>
      <c r="G94" s="1">
        <f t="shared" si="63"/>
        <v>206.51731160896128</v>
      </c>
      <c r="H94" s="48" t="str">
        <f t="shared" si="64"/>
        <v>Tarik</v>
      </c>
      <c r="I94" s="3">
        <f t="shared" si="65"/>
        <v>-549.52789883438334</v>
      </c>
      <c r="J94" s="59">
        <f t="shared" si="55"/>
        <v>1.3534767686875877E-3</v>
      </c>
      <c r="K94" s="48" t="str">
        <f t="shared" si="56"/>
        <v>Belum</v>
      </c>
      <c r="L94" s="1">
        <f t="shared" si="66"/>
        <v>270.69535373751756</v>
      </c>
      <c r="M94" s="48" t="str">
        <f t="shared" si="67"/>
        <v>Tekan</v>
      </c>
      <c r="N94" s="3">
        <f t="shared" si="68"/>
        <v>345.09615705426882</v>
      </c>
      <c r="O94" s="59">
        <f t="shared" si="69"/>
        <v>3.0000000000000001E-3</v>
      </c>
      <c r="P94" s="48" t="str">
        <f t="shared" si="70"/>
        <v>Sudah</v>
      </c>
      <c r="Q94" s="1">
        <f t="shared" si="71"/>
        <v>245</v>
      </c>
      <c r="R94" s="48" t="str">
        <f t="shared" si="72"/>
        <v>Tekan</v>
      </c>
      <c r="S94" s="3">
        <f t="shared" si="73"/>
        <v>2187.36</v>
      </c>
      <c r="T94" s="3">
        <f t="shared" si="74"/>
        <v>5599.1597736744316</v>
      </c>
      <c r="U94" s="60">
        <f t="shared" si="75"/>
        <v>-767.51435053302976</v>
      </c>
      <c r="V94" s="1">
        <f t="shared" si="76"/>
        <v>0.65</v>
      </c>
      <c r="W94" s="3">
        <f t="shared" si="60"/>
        <v>3639.4538528883804</v>
      </c>
      <c r="X94" s="3">
        <f t="shared" si="77"/>
        <v>-498.88432784646938</v>
      </c>
    </row>
    <row r="95" spans="1:24" x14ac:dyDescent="0.25">
      <c r="A95" s="1">
        <v>6</v>
      </c>
      <c r="B95" s="3">
        <f t="shared" si="61"/>
        <v>209.30606060606061</v>
      </c>
      <c r="C95" s="3">
        <f t="shared" si="51"/>
        <v>177.91015151515151</v>
      </c>
      <c r="D95" s="1">
        <f t="shared" si="52"/>
        <v>3520.4860781818179</v>
      </c>
      <c r="E95" s="59">
        <f t="shared" si="62"/>
        <v>1.1422594142259412E-3</v>
      </c>
      <c r="F95" s="48" t="str">
        <f t="shared" si="53"/>
        <v>Belum</v>
      </c>
      <c r="G95" s="1">
        <f t="shared" si="63"/>
        <v>228.45188284518824</v>
      </c>
      <c r="H95" s="48" t="str">
        <f t="shared" si="64"/>
        <v>Tarik</v>
      </c>
      <c r="I95" s="3">
        <f t="shared" si="65"/>
        <v>-607.89423504788397</v>
      </c>
      <c r="J95" s="59">
        <f t="shared" si="55"/>
        <v>1.3086968481707229E-3</v>
      </c>
      <c r="K95" s="48" t="str">
        <f t="shared" si="56"/>
        <v>Belum</v>
      </c>
      <c r="L95" s="1">
        <f t="shared" si="66"/>
        <v>261.73936963414457</v>
      </c>
      <c r="M95" s="48" t="str">
        <f t="shared" si="67"/>
        <v>Tekan</v>
      </c>
      <c r="N95" s="3">
        <f t="shared" si="68"/>
        <v>332.49120492282788</v>
      </c>
      <c r="O95" s="59">
        <f t="shared" si="69"/>
        <v>3.0000000000000001E-3</v>
      </c>
      <c r="P95" s="48" t="str">
        <f t="shared" si="70"/>
        <v>Sudah</v>
      </c>
      <c r="Q95" s="1">
        <f t="shared" si="71"/>
        <v>245</v>
      </c>
      <c r="R95" s="48" t="str">
        <f t="shared" si="72"/>
        <v>Tekan</v>
      </c>
      <c r="S95" s="3">
        <f t="shared" si="73"/>
        <v>2187.36</v>
      </c>
      <c r="T95" s="3">
        <f t="shared" si="74"/>
        <v>5432.4430480567626</v>
      </c>
      <c r="U95" s="60">
        <f t="shared" si="75"/>
        <v>-773.95989936972376</v>
      </c>
      <c r="V95" s="1">
        <f t="shared" si="76"/>
        <v>0.65</v>
      </c>
      <c r="W95" s="3">
        <f t="shared" si="60"/>
        <v>3531.0879812368958</v>
      </c>
      <c r="X95" s="3">
        <f t="shared" si="77"/>
        <v>-503.07393459032045</v>
      </c>
    </row>
    <row r="96" spans="1:24" x14ac:dyDescent="0.25">
      <c r="A96" s="1">
        <v>5</v>
      </c>
      <c r="B96" s="3">
        <f t="shared" si="61"/>
        <v>203.61363636363637</v>
      </c>
      <c r="C96" s="3">
        <f t="shared" si="51"/>
        <v>173.0715909090909</v>
      </c>
      <c r="D96" s="1">
        <f t="shared" si="52"/>
        <v>3424.7406409090913</v>
      </c>
      <c r="E96" s="59">
        <f t="shared" si="62"/>
        <v>1.258064516129032E-3</v>
      </c>
      <c r="F96" s="48" t="str">
        <f t="shared" si="53"/>
        <v>Belum</v>
      </c>
      <c r="G96" s="1">
        <f t="shared" si="63"/>
        <v>251.61290322580641</v>
      </c>
      <c r="H96" s="48" t="str">
        <f t="shared" si="64"/>
        <v>Tarik</v>
      </c>
      <c r="I96" s="3">
        <f t="shared" si="65"/>
        <v>-669.52406532923635</v>
      </c>
      <c r="J96" s="59">
        <f t="shared" si="55"/>
        <v>1.2614131041410873E-3</v>
      </c>
      <c r="K96" s="48" t="str">
        <f t="shared" si="56"/>
        <v>Belum</v>
      </c>
      <c r="L96" s="1">
        <f t="shared" si="66"/>
        <v>252.28262082821746</v>
      </c>
      <c r="M96" s="48" t="str">
        <f t="shared" si="67"/>
        <v>Tekan</v>
      </c>
      <c r="N96" s="3">
        <f t="shared" si="68"/>
        <v>319.18145976898387</v>
      </c>
      <c r="O96" s="59">
        <f t="shared" si="69"/>
        <v>3.0000000000000001E-3</v>
      </c>
      <c r="P96" s="48" t="str">
        <f t="shared" si="70"/>
        <v>Sudah</v>
      </c>
      <c r="Q96" s="1">
        <f t="shared" si="71"/>
        <v>245</v>
      </c>
      <c r="R96" s="48" t="str">
        <f t="shared" si="72"/>
        <v>Tekan</v>
      </c>
      <c r="S96" s="3">
        <f t="shared" si="73"/>
        <v>2187.36</v>
      </c>
      <c r="T96" s="3">
        <f t="shared" si="74"/>
        <v>5261.7580353488393</v>
      </c>
      <c r="U96" s="60">
        <f t="shared" si="75"/>
        <v>-780.27404322687789</v>
      </c>
      <c r="V96" s="1">
        <f t="shared" si="76"/>
        <v>0.65</v>
      </c>
      <c r="W96" s="3">
        <f t="shared" si="60"/>
        <v>3420.1427229767455</v>
      </c>
      <c r="X96" s="3">
        <f t="shared" si="77"/>
        <v>-507.17812809747068</v>
      </c>
    </row>
    <row r="97" spans="1:24" x14ac:dyDescent="0.25">
      <c r="A97" s="1">
        <v>4</v>
      </c>
      <c r="B97" s="3">
        <f t="shared" si="61"/>
        <v>197.92121212121214</v>
      </c>
      <c r="C97" s="3">
        <f t="shared" si="51"/>
        <v>168.23303030303032</v>
      </c>
      <c r="D97" s="1">
        <f t="shared" si="52"/>
        <v>3328.9952036363643</v>
      </c>
      <c r="E97" s="59">
        <f t="shared" si="62"/>
        <v>1.3805309734513272E-3</v>
      </c>
      <c r="F97" s="48" t="str">
        <f t="shared" si="53"/>
        <v>Belum</v>
      </c>
      <c r="G97" s="1">
        <f t="shared" si="63"/>
        <v>276.10619469026545</v>
      </c>
      <c r="H97" s="48" t="str">
        <f t="shared" si="64"/>
        <v>Tarik</v>
      </c>
      <c r="I97" s="3">
        <f t="shared" si="65"/>
        <v>-734.69897434358677</v>
      </c>
      <c r="J97" s="59">
        <f t="shared" si="55"/>
        <v>1.211409498729216E-3</v>
      </c>
      <c r="K97" s="48" t="str">
        <f t="shared" si="56"/>
        <v>Belum</v>
      </c>
      <c r="L97" s="1">
        <f t="shared" si="66"/>
        <v>242.28189974584319</v>
      </c>
      <c r="M97" s="48" t="str">
        <f t="shared" si="67"/>
        <v>Tekan</v>
      </c>
      <c r="N97" s="3">
        <f t="shared" si="68"/>
        <v>305.10610980540542</v>
      </c>
      <c r="O97" s="59">
        <f t="shared" si="69"/>
        <v>3.0000000000000001E-3</v>
      </c>
      <c r="P97" s="48" t="str">
        <f t="shared" si="70"/>
        <v>Sudah</v>
      </c>
      <c r="Q97" s="1">
        <f t="shared" si="71"/>
        <v>245</v>
      </c>
      <c r="R97" s="48" t="str">
        <f t="shared" si="72"/>
        <v>Tekan</v>
      </c>
      <c r="S97" s="3">
        <f t="shared" si="73"/>
        <v>2187.36</v>
      </c>
      <c r="T97" s="3">
        <f t="shared" si="74"/>
        <v>5086.7623390981835</v>
      </c>
      <c r="U97" s="60">
        <f t="shared" si="75"/>
        <v>-786.4854164844412</v>
      </c>
      <c r="V97" s="1">
        <f t="shared" si="76"/>
        <v>0.65</v>
      </c>
      <c r="W97" s="3">
        <f t="shared" si="60"/>
        <v>3306.3955204138192</v>
      </c>
      <c r="X97" s="3">
        <f t="shared" si="77"/>
        <v>-511.21552071488679</v>
      </c>
    </row>
    <row r="98" spans="1:24" x14ac:dyDescent="0.25">
      <c r="A98" s="1">
        <v>3</v>
      </c>
      <c r="B98" s="3">
        <f t="shared" si="61"/>
        <v>192.22878787878787</v>
      </c>
      <c r="C98" s="3">
        <f t="shared" si="51"/>
        <v>163.39446969696968</v>
      </c>
      <c r="D98" s="1">
        <f t="shared" si="52"/>
        <v>3233.2497663636359</v>
      </c>
      <c r="E98" s="59">
        <f t="shared" si="62"/>
        <v>1.5102505694760823E-3</v>
      </c>
      <c r="F98" s="48" t="str">
        <f t="shared" si="53"/>
        <v>Belum</v>
      </c>
      <c r="G98" s="1">
        <f t="shared" si="63"/>
        <v>302.05011389521644</v>
      </c>
      <c r="H98" s="48" t="str">
        <f t="shared" si="64"/>
        <v>Tarik</v>
      </c>
      <c r="I98" s="3">
        <f t="shared" si="65"/>
        <v>-803.733900748309</v>
      </c>
      <c r="J98" s="59">
        <f t="shared" si="55"/>
        <v>1.1584444041585547E-3</v>
      </c>
      <c r="K98" s="48" t="str">
        <f t="shared" si="56"/>
        <v>Belum</v>
      </c>
      <c r="L98" s="1">
        <f t="shared" si="66"/>
        <v>231.68888083171095</v>
      </c>
      <c r="M98" s="48" t="str">
        <f t="shared" si="67"/>
        <v>Tekan</v>
      </c>
      <c r="N98" s="3">
        <f t="shared" si="68"/>
        <v>290.1971400262164</v>
      </c>
      <c r="O98" s="59">
        <f t="shared" si="69"/>
        <v>3.0000000000000001E-3</v>
      </c>
      <c r="P98" s="48" t="str">
        <f t="shared" si="70"/>
        <v>Sudah</v>
      </c>
      <c r="Q98" s="1">
        <f t="shared" si="71"/>
        <v>245</v>
      </c>
      <c r="R98" s="48" t="str">
        <f t="shared" si="72"/>
        <v>Tekan</v>
      </c>
      <c r="S98" s="3">
        <f t="shared" si="73"/>
        <v>2187.36</v>
      </c>
      <c r="T98" s="3">
        <f t="shared" si="74"/>
        <v>4907.0730056415432</v>
      </c>
      <c r="U98" s="60">
        <f t="shared" si="75"/>
        <v>-792.62604529401915</v>
      </c>
      <c r="V98" s="1">
        <f t="shared" si="76"/>
        <v>0.65</v>
      </c>
      <c r="W98" s="3">
        <f t="shared" si="60"/>
        <v>3189.5974536670033</v>
      </c>
      <c r="X98" s="3">
        <f t="shared" si="77"/>
        <v>-515.20692944111249</v>
      </c>
    </row>
    <row r="99" spans="1:24" x14ac:dyDescent="0.25">
      <c r="A99" s="1">
        <v>2</v>
      </c>
      <c r="B99" s="3">
        <f t="shared" si="61"/>
        <v>186.53636363636363</v>
      </c>
      <c r="C99" s="3">
        <f t="shared" si="51"/>
        <v>158.5559090909091</v>
      </c>
      <c r="D99" s="1">
        <f t="shared" si="52"/>
        <v>3137.5043290909093</v>
      </c>
      <c r="E99" s="59">
        <f t="shared" si="62"/>
        <v>1.647887323943662E-3</v>
      </c>
      <c r="F99" s="48" t="str">
        <f t="shared" si="53"/>
        <v>Belum</v>
      </c>
      <c r="G99" s="1">
        <f t="shared" si="63"/>
        <v>329.57746478873241</v>
      </c>
      <c r="H99" s="48" t="str">
        <f t="shared" si="64"/>
        <v>Tarik</v>
      </c>
      <c r="I99" s="3">
        <f t="shared" si="65"/>
        <v>-876.98222641716882</v>
      </c>
      <c r="J99" s="59">
        <f t="shared" si="55"/>
        <v>1.1022466981821725E-3</v>
      </c>
      <c r="K99" s="48" t="str">
        <f t="shared" si="56"/>
        <v>Belum</v>
      </c>
      <c r="L99" s="1">
        <f t="shared" si="66"/>
        <v>220.4493396364345</v>
      </c>
      <c r="M99" s="48" t="str">
        <f t="shared" si="67"/>
        <v>Tekan</v>
      </c>
      <c r="N99" s="3">
        <f t="shared" si="68"/>
        <v>274.37823312435387</v>
      </c>
      <c r="O99" s="59">
        <f t="shared" si="69"/>
        <v>3.0000000000000001E-3</v>
      </c>
      <c r="P99" s="48" t="str">
        <f t="shared" si="70"/>
        <v>Sudah</v>
      </c>
      <c r="Q99" s="1">
        <f t="shared" si="71"/>
        <v>245</v>
      </c>
      <c r="R99" s="48" t="str">
        <f t="shared" si="72"/>
        <v>Tekan</v>
      </c>
      <c r="S99" s="3">
        <f t="shared" si="73"/>
        <v>2187.36</v>
      </c>
      <c r="T99" s="3">
        <f t="shared" si="74"/>
        <v>4722.2603357980943</v>
      </c>
      <c r="U99" s="60">
        <f t="shared" si="75"/>
        <v>-798.73186510271853</v>
      </c>
      <c r="V99" s="1">
        <f t="shared" si="76"/>
        <v>0.65</v>
      </c>
      <c r="W99" s="3">
        <f t="shared" si="60"/>
        <v>3069.4692182687613</v>
      </c>
      <c r="X99" s="3">
        <f t="shared" si="77"/>
        <v>-519.17571231676709</v>
      </c>
    </row>
    <row r="100" spans="1:24" x14ac:dyDescent="0.25">
      <c r="A100" s="1">
        <v>1</v>
      </c>
      <c r="B100" s="3">
        <f t="shared" si="61"/>
        <v>180.84393939393939</v>
      </c>
      <c r="C100" s="3">
        <f t="shared" si="51"/>
        <v>153.71734848484849</v>
      </c>
      <c r="D100" s="1">
        <f t="shared" si="52"/>
        <v>3041.7588918181823</v>
      </c>
      <c r="E100" s="59">
        <f t="shared" si="62"/>
        <v>1.7941888619854723E-3</v>
      </c>
      <c r="F100" s="48" t="str">
        <f t="shared" si="53"/>
        <v>Belum</v>
      </c>
      <c r="G100" s="1">
        <f t="shared" si="63"/>
        <v>358.83777239709445</v>
      </c>
      <c r="H100" s="48" t="str">
        <f t="shared" si="64"/>
        <v>Tarik</v>
      </c>
      <c r="I100" s="3">
        <f t="shared" si="65"/>
        <v>-954.84182682547271</v>
      </c>
      <c r="J100" s="59">
        <f t="shared" si="55"/>
        <v>1.0425111220958973E-3</v>
      </c>
      <c r="K100" s="48" t="str">
        <f t="shared" si="56"/>
        <v>Belum</v>
      </c>
      <c r="L100" s="1">
        <f t="shared" si="66"/>
        <v>208.50222441917947</v>
      </c>
      <c r="M100" s="48" t="str">
        <f t="shared" si="67"/>
        <v>Tekan</v>
      </c>
      <c r="N100" s="3">
        <f t="shared" si="68"/>
        <v>257.56346283399643</v>
      </c>
      <c r="O100" s="59">
        <f t="shared" si="69"/>
        <v>3.0000000000000001E-3</v>
      </c>
      <c r="P100" s="48" t="str">
        <f t="shared" si="70"/>
        <v>Sudah</v>
      </c>
      <c r="Q100" s="1">
        <f t="shared" si="71"/>
        <v>245</v>
      </c>
      <c r="R100" s="48" t="str">
        <f t="shared" si="72"/>
        <v>Tekan</v>
      </c>
      <c r="S100" s="3">
        <f t="shared" si="73"/>
        <v>2187.36</v>
      </c>
      <c r="T100" s="3">
        <f t="shared" si="74"/>
        <v>4531.8405278267055</v>
      </c>
      <c r="U100" s="60">
        <f t="shared" si="75"/>
        <v>-804.84333591757252</v>
      </c>
      <c r="V100" s="1">
        <f t="shared" si="76"/>
        <v>0.65</v>
      </c>
      <c r="W100" s="3">
        <f t="shared" si="60"/>
        <v>2945.6963430873589</v>
      </c>
      <c r="X100" s="3">
        <f t="shared" si="77"/>
        <v>-523.14816834642215</v>
      </c>
    </row>
    <row r="101" spans="1:24" x14ac:dyDescent="0.25">
      <c r="A101" s="80" t="s">
        <v>211</v>
      </c>
      <c r="B101" s="3">
        <f>(600/(600+$G$6))*$Q$19</f>
        <v>175.15151515151516</v>
      </c>
      <c r="C101" s="3">
        <f t="shared" si="51"/>
        <v>148.87878787878788</v>
      </c>
      <c r="D101" s="1">
        <f t="shared" si="52"/>
        <v>2946.0134545454548</v>
      </c>
      <c r="E101" s="59">
        <f t="shared" si="62"/>
        <v>1.9499999999999997E-3</v>
      </c>
      <c r="F101" s="48" t="str">
        <f t="shared" si="53"/>
        <v>Sudah</v>
      </c>
      <c r="G101" s="1">
        <f t="shared" si="63"/>
        <v>390</v>
      </c>
      <c r="H101" s="48" t="str">
        <f t="shared" si="64"/>
        <v>Tarik</v>
      </c>
      <c r="I101" s="3">
        <f t="shared" si="65"/>
        <v>-1037.7623012603165</v>
      </c>
      <c r="J101" s="59">
        <f t="shared" si="55"/>
        <v>9.7889273356401387E-4</v>
      </c>
      <c r="K101" s="48" t="str">
        <f t="shared" si="56"/>
        <v>Belum</v>
      </c>
      <c r="L101" s="1">
        <f t="shared" si="66"/>
        <v>195.77854671280278</v>
      </c>
      <c r="M101" s="48" t="str">
        <f t="shared" si="67"/>
        <v>Tekan</v>
      </c>
      <c r="N101" s="3">
        <f t="shared" si="68"/>
        <v>239.65573247476564</v>
      </c>
      <c r="O101" s="59">
        <f t="shared" si="69"/>
        <v>3.0000000000000001E-3</v>
      </c>
      <c r="P101" s="48" t="str">
        <f t="shared" si="70"/>
        <v>Sudah</v>
      </c>
      <c r="Q101" s="1">
        <f t="shared" si="71"/>
        <v>245</v>
      </c>
      <c r="R101" s="48" t="str">
        <f t="shared" si="72"/>
        <v>Tekan</v>
      </c>
      <c r="S101" s="3">
        <f t="shared" si="73"/>
        <v>2187.36</v>
      </c>
      <c r="T101" s="3">
        <f t="shared" si="74"/>
        <v>4335.2668857599037</v>
      </c>
      <c r="U101" s="60">
        <f t="shared" si="75"/>
        <v>-811.00617754652842</v>
      </c>
      <c r="V101" s="1">
        <f t="shared" si="76"/>
        <v>0.65</v>
      </c>
      <c r="W101" s="3">
        <f t="shared" si="60"/>
        <v>2817.9234757439376</v>
      </c>
      <c r="X101" s="3">
        <f t="shared" si="77"/>
        <v>-527.15401540524351</v>
      </c>
    </row>
    <row r="102" spans="1:24" x14ac:dyDescent="0.25">
      <c r="A102" s="1">
        <v>-1</v>
      </c>
      <c r="B102" s="3">
        <f>$B$101+(A102/20*($B$101))</f>
        <v>166.39393939393941</v>
      </c>
      <c r="C102" s="3">
        <f t="shared" si="51"/>
        <v>141.43484848484849</v>
      </c>
      <c r="D102" s="1">
        <f t="shared" si="52"/>
        <v>2798.7127818181816</v>
      </c>
      <c r="E102" s="59">
        <f t="shared" si="62"/>
        <v>2.2105263157894731E-3</v>
      </c>
      <c r="F102" s="48" t="str">
        <f t="shared" si="53"/>
        <v>Sudah</v>
      </c>
      <c r="G102" s="1">
        <f t="shared" si="63"/>
        <v>390</v>
      </c>
      <c r="H102" s="48" t="str">
        <f t="shared" si="64"/>
        <v>Tarik</v>
      </c>
      <c r="I102" s="3">
        <f t="shared" si="65"/>
        <v>-1037.7623012603165</v>
      </c>
      <c r="J102" s="59">
        <f t="shared" si="55"/>
        <v>8.7251866690948832E-4</v>
      </c>
      <c r="K102" s="48" t="str">
        <f t="shared" si="56"/>
        <v>Belum</v>
      </c>
      <c r="L102" s="1">
        <f t="shared" si="66"/>
        <v>174.50373338189766</v>
      </c>
      <c r="M102" s="48" t="str">
        <f t="shared" si="67"/>
        <v>Tekan</v>
      </c>
      <c r="N102" s="3">
        <f t="shared" si="68"/>
        <v>209.71284729920981</v>
      </c>
      <c r="O102" s="59">
        <f t="shared" si="69"/>
        <v>3.0000000000000001E-3</v>
      </c>
      <c r="P102" s="48" t="str">
        <f t="shared" si="70"/>
        <v>Sudah</v>
      </c>
      <c r="Q102" s="1">
        <f t="shared" si="71"/>
        <v>245</v>
      </c>
      <c r="R102" s="48" t="str">
        <f t="shared" si="72"/>
        <v>Tekan</v>
      </c>
      <c r="S102" s="3">
        <f t="shared" si="73"/>
        <v>2187.36</v>
      </c>
      <c r="T102" s="3">
        <f t="shared" si="74"/>
        <v>4158.0233278570749</v>
      </c>
      <c r="U102" s="60">
        <f t="shared" si="75"/>
        <v>-804.90351233338117</v>
      </c>
      <c r="V102" s="1">
        <f t="shared" si="76"/>
        <v>0.66754385964912277</v>
      </c>
      <c r="W102" s="3">
        <f t="shared" si="60"/>
        <v>2775.6629407888017</v>
      </c>
      <c r="X102" s="3">
        <f t="shared" si="77"/>
        <v>-537.30839726816055</v>
      </c>
    </row>
    <row r="103" spans="1:24" x14ac:dyDescent="0.25">
      <c r="A103" s="1">
        <v>-2</v>
      </c>
      <c r="B103" s="3">
        <f t="shared" ref="B103:B120" si="78">$B$101+(A103/20*($B$101))</f>
        <v>157.63636363636363</v>
      </c>
      <c r="C103" s="3">
        <f t="shared" si="51"/>
        <v>133.99090909090907</v>
      </c>
      <c r="D103" s="1">
        <f t="shared" si="52"/>
        <v>2651.4121090909089</v>
      </c>
      <c r="E103" s="59">
        <f t="shared" si="62"/>
        <v>2.5000000000000005E-3</v>
      </c>
      <c r="F103" s="48" t="str">
        <f t="shared" si="53"/>
        <v>Sudah</v>
      </c>
      <c r="G103" s="1">
        <f t="shared" si="63"/>
        <v>390</v>
      </c>
      <c r="H103" s="48" t="str">
        <f t="shared" si="64"/>
        <v>Tarik</v>
      </c>
      <c r="I103" s="3">
        <f t="shared" si="65"/>
        <v>-1037.7623012603165</v>
      </c>
      <c r="J103" s="59">
        <f t="shared" si="55"/>
        <v>7.5432525951557073E-4</v>
      </c>
      <c r="K103" s="48" t="str">
        <f t="shared" si="56"/>
        <v>Belum</v>
      </c>
      <c r="L103" s="1">
        <f t="shared" si="66"/>
        <v>150.86505190311414</v>
      </c>
      <c r="M103" s="48" t="str">
        <f t="shared" si="67"/>
        <v>Tekan</v>
      </c>
      <c r="N103" s="3">
        <f t="shared" si="68"/>
        <v>176.44297488192547</v>
      </c>
      <c r="O103" s="59">
        <f t="shared" si="69"/>
        <v>3.0000000000000001E-3</v>
      </c>
      <c r="P103" s="48" t="str">
        <f t="shared" si="70"/>
        <v>Sudah</v>
      </c>
      <c r="Q103" s="1">
        <f t="shared" si="71"/>
        <v>245</v>
      </c>
      <c r="R103" s="48" t="str">
        <f t="shared" si="72"/>
        <v>Tekan</v>
      </c>
      <c r="S103" s="3">
        <f t="shared" si="73"/>
        <v>2187.36</v>
      </c>
      <c r="T103" s="3">
        <f t="shared" si="74"/>
        <v>3977.452782712518</v>
      </c>
      <c r="U103" s="60">
        <f t="shared" si="75"/>
        <v>-797.51471156698722</v>
      </c>
      <c r="V103" s="1">
        <f t="shared" si="76"/>
        <v>0.69166666666666676</v>
      </c>
      <c r="W103" s="3">
        <f t="shared" si="60"/>
        <v>2751.0715080428254</v>
      </c>
      <c r="X103" s="3">
        <f t="shared" si="77"/>
        <v>-551.61434216716623</v>
      </c>
    </row>
    <row r="104" spans="1:24" x14ac:dyDescent="0.25">
      <c r="A104" s="1">
        <v>-3</v>
      </c>
      <c r="B104" s="3">
        <f t="shared" si="78"/>
        <v>148.87878787878788</v>
      </c>
      <c r="C104" s="3">
        <f t="shared" si="51"/>
        <v>126.5469696969697</v>
      </c>
      <c r="D104" s="1">
        <f t="shared" si="52"/>
        <v>2504.1114363636366</v>
      </c>
      <c r="E104" s="59">
        <f t="shared" si="62"/>
        <v>2.8235294117647061E-3</v>
      </c>
      <c r="F104" s="48" t="str">
        <f t="shared" si="53"/>
        <v>Sudah</v>
      </c>
      <c r="G104" s="1">
        <f t="shared" si="63"/>
        <v>390</v>
      </c>
      <c r="H104" s="48" t="str">
        <f t="shared" si="64"/>
        <v>Tarik</v>
      </c>
      <c r="I104" s="3">
        <f t="shared" si="65"/>
        <v>-1037.7623012603165</v>
      </c>
      <c r="J104" s="59">
        <f t="shared" si="55"/>
        <v>6.2222674536942799E-4</v>
      </c>
      <c r="K104" s="48" t="str">
        <f t="shared" si="56"/>
        <v>Belum</v>
      </c>
      <c r="L104" s="1">
        <f t="shared" si="66"/>
        <v>124.44534907388559</v>
      </c>
      <c r="M104" s="48" t="str">
        <f t="shared" si="67"/>
        <v>Tekan</v>
      </c>
      <c r="N104" s="3">
        <f t="shared" si="68"/>
        <v>139.25899982731369</v>
      </c>
      <c r="O104" s="59">
        <f t="shared" si="69"/>
        <v>3.0000000000000001E-3</v>
      </c>
      <c r="P104" s="48" t="str">
        <f t="shared" si="70"/>
        <v>Sudah</v>
      </c>
      <c r="Q104" s="1">
        <f t="shared" si="71"/>
        <v>245</v>
      </c>
      <c r="R104" s="48" t="str">
        <f t="shared" si="72"/>
        <v>Tekan</v>
      </c>
      <c r="S104" s="3">
        <f t="shared" si="73"/>
        <v>2187.36</v>
      </c>
      <c r="T104" s="3">
        <f t="shared" si="74"/>
        <v>3792.9681349306338</v>
      </c>
      <c r="U104" s="60">
        <f t="shared" si="75"/>
        <v>-788.80630966979709</v>
      </c>
      <c r="V104" s="1">
        <f t="shared" si="76"/>
        <v>0.71862745098039216</v>
      </c>
      <c r="W104" s="3">
        <f t="shared" si="60"/>
        <v>2725.7310224550533</v>
      </c>
      <c r="X104" s="3">
        <f t="shared" si="77"/>
        <v>-566.85786763525618</v>
      </c>
    </row>
    <row r="105" spans="1:24" x14ac:dyDescent="0.25">
      <c r="A105" s="1">
        <v>-4</v>
      </c>
      <c r="B105" s="3">
        <f t="shared" si="78"/>
        <v>140.12121212121212</v>
      </c>
      <c r="C105" s="3">
        <f t="shared" si="51"/>
        <v>119.10303030303031</v>
      </c>
      <c r="D105" s="1">
        <f t="shared" si="52"/>
        <v>2356.8107636363638</v>
      </c>
      <c r="E105" s="59">
        <f t="shared" si="62"/>
        <v>3.1875000000000002E-3</v>
      </c>
      <c r="F105" s="48" t="str">
        <f t="shared" si="53"/>
        <v>Sudah</v>
      </c>
      <c r="G105" s="1">
        <f t="shared" si="63"/>
        <v>390</v>
      </c>
      <c r="H105" s="48" t="str">
        <f t="shared" si="64"/>
        <v>Tarik</v>
      </c>
      <c r="I105" s="3">
        <f t="shared" si="65"/>
        <v>-1037.7623012603165</v>
      </c>
      <c r="J105" s="59">
        <f t="shared" si="55"/>
        <v>4.7361591695501738E-4</v>
      </c>
      <c r="K105" s="48" t="str">
        <f t="shared" si="56"/>
        <v>Belum</v>
      </c>
      <c r="L105" s="1">
        <f t="shared" si="66"/>
        <v>94.723183391003474</v>
      </c>
      <c r="M105" s="48" t="str">
        <f t="shared" si="67"/>
        <v>Tekan</v>
      </c>
      <c r="N105" s="3">
        <f t="shared" si="68"/>
        <v>97.427027890875422</v>
      </c>
      <c r="O105" s="59">
        <f t="shared" si="69"/>
        <v>3.0000000000000001E-3</v>
      </c>
      <c r="P105" s="48" t="str">
        <f t="shared" si="70"/>
        <v>Sudah</v>
      </c>
      <c r="Q105" s="1">
        <f t="shared" si="71"/>
        <v>245</v>
      </c>
      <c r="R105" s="48" t="str">
        <f t="shared" si="72"/>
        <v>Tekan</v>
      </c>
      <c r="S105" s="3">
        <f t="shared" si="73"/>
        <v>2187.36</v>
      </c>
      <c r="T105" s="3">
        <f t="shared" si="74"/>
        <v>3603.835490266923</v>
      </c>
      <c r="U105" s="60">
        <f t="shared" si="75"/>
        <v>-778.73647466987461</v>
      </c>
      <c r="V105" s="1">
        <f t="shared" si="76"/>
        <v>0.74895833333333339</v>
      </c>
      <c r="W105" s="3">
        <f t="shared" si="60"/>
        <v>2699.122622397831</v>
      </c>
      <c r="X105" s="3">
        <f t="shared" si="77"/>
        <v>-583.24117217462492</v>
      </c>
    </row>
    <row r="106" spans="1:24" x14ac:dyDescent="0.25">
      <c r="A106" s="1">
        <v>-5</v>
      </c>
      <c r="B106" s="3">
        <f t="shared" si="78"/>
        <v>131.36363636363637</v>
      </c>
      <c r="C106" s="3">
        <f t="shared" si="51"/>
        <v>111.65909090909092</v>
      </c>
      <c r="D106" s="1">
        <f t="shared" si="52"/>
        <v>2209.5100909090911</v>
      </c>
      <c r="E106" s="59">
        <f t="shared" si="62"/>
        <v>3.5999999999999995E-3</v>
      </c>
      <c r="F106" s="48" t="str">
        <f t="shared" si="53"/>
        <v>Sudah</v>
      </c>
      <c r="G106" s="1">
        <f t="shared" si="63"/>
        <v>390</v>
      </c>
      <c r="H106" s="48" t="str">
        <f t="shared" si="64"/>
        <v>Tarik</v>
      </c>
      <c r="I106" s="3">
        <f t="shared" si="65"/>
        <v>-1037.7623012603165</v>
      </c>
      <c r="J106" s="59">
        <f t="shared" si="55"/>
        <v>3.0519031141868532E-4</v>
      </c>
      <c r="K106" s="48" t="str">
        <f t="shared" si="56"/>
        <v>Belum</v>
      </c>
      <c r="L106" s="1">
        <f t="shared" si="66"/>
        <v>61.038062283737062</v>
      </c>
      <c r="M106" s="48" t="str">
        <f t="shared" si="67"/>
        <v>Tekan</v>
      </c>
      <c r="N106" s="3">
        <f t="shared" si="68"/>
        <v>50.017459696245382</v>
      </c>
      <c r="O106" s="59">
        <f t="shared" si="69"/>
        <v>3.0000000000000001E-3</v>
      </c>
      <c r="P106" s="48" t="str">
        <f t="shared" si="70"/>
        <v>Sudah</v>
      </c>
      <c r="Q106" s="1">
        <f t="shared" si="71"/>
        <v>245</v>
      </c>
      <c r="R106" s="48" t="str">
        <f t="shared" si="72"/>
        <v>Tekan</v>
      </c>
      <c r="S106" s="3">
        <f t="shared" si="73"/>
        <v>2187.36</v>
      </c>
      <c r="T106" s="3">
        <f t="shared" si="74"/>
        <v>3409.1252493450202</v>
      </c>
      <c r="U106" s="60">
        <f t="shared" si="75"/>
        <v>-767.25221940276697</v>
      </c>
      <c r="V106" s="1">
        <f t="shared" si="76"/>
        <v>0.78333333333333333</v>
      </c>
      <c r="W106" s="3">
        <f t="shared" si="60"/>
        <v>2670.4814453202657</v>
      </c>
      <c r="X106" s="3">
        <f t="shared" si="77"/>
        <v>-601.0142385321675</v>
      </c>
    </row>
    <row r="107" spans="1:24" x14ac:dyDescent="0.25">
      <c r="A107" s="1">
        <v>-6</v>
      </c>
      <c r="B107" s="3">
        <f t="shared" si="78"/>
        <v>122.60606060606061</v>
      </c>
      <c r="C107" s="3">
        <f t="shared" si="51"/>
        <v>104.21515151515152</v>
      </c>
      <c r="D107" s="1">
        <f t="shared" si="52"/>
        <v>2062.2094181818184</v>
      </c>
      <c r="E107" s="59">
        <f t="shared" si="62"/>
        <v>4.0714285714285713E-3</v>
      </c>
      <c r="F107" s="48" t="str">
        <f t="shared" si="53"/>
        <v>Sudah</v>
      </c>
      <c r="G107" s="1">
        <f t="shared" si="63"/>
        <v>390</v>
      </c>
      <c r="H107" s="48" t="str">
        <f t="shared" si="64"/>
        <v>Tarik</v>
      </c>
      <c r="I107" s="3">
        <f t="shared" si="65"/>
        <v>-1037.7623012603165</v>
      </c>
      <c r="J107" s="59">
        <f t="shared" si="55"/>
        <v>1.1270390509144841E-4</v>
      </c>
      <c r="K107" s="48" t="str">
        <f t="shared" si="56"/>
        <v>Belum</v>
      </c>
      <c r="L107" s="1">
        <f t="shared" si="66"/>
        <v>22.540781018289682</v>
      </c>
      <c r="M107" s="48" t="str">
        <f t="shared" si="67"/>
        <v>Tekan</v>
      </c>
      <c r="N107" s="3">
        <f t="shared" si="68"/>
        <v>-4.1649039547604625</v>
      </c>
      <c r="O107" s="59">
        <f t="shared" si="69"/>
        <v>3.0000000000000001E-3</v>
      </c>
      <c r="P107" s="48" t="str">
        <f t="shared" si="70"/>
        <v>Sudah</v>
      </c>
      <c r="Q107" s="1">
        <f t="shared" si="71"/>
        <v>245</v>
      </c>
      <c r="R107" s="48" t="str">
        <f t="shared" si="72"/>
        <v>Tekan</v>
      </c>
      <c r="S107" s="3">
        <f t="shared" si="73"/>
        <v>2187.36</v>
      </c>
      <c r="T107" s="3">
        <f t="shared" si="74"/>
        <v>3207.6422129667417</v>
      </c>
      <c r="U107" s="60">
        <f t="shared" si="75"/>
        <v>-754.28541751417765</v>
      </c>
      <c r="V107" s="1">
        <f t="shared" si="76"/>
        <v>0.82261904761904758</v>
      </c>
      <c r="W107" s="3">
        <f t="shared" si="60"/>
        <v>2638.6675823333553</v>
      </c>
      <c r="X107" s="3">
        <f t="shared" si="77"/>
        <v>-620.48955178844847</v>
      </c>
    </row>
    <row r="108" spans="1:24" x14ac:dyDescent="0.25">
      <c r="A108" s="1">
        <v>-7</v>
      </c>
      <c r="B108" s="3">
        <f t="shared" si="78"/>
        <v>113.84848484848486</v>
      </c>
      <c r="C108" s="3">
        <f t="shared" si="51"/>
        <v>96.77121212121213</v>
      </c>
      <c r="D108" s="1">
        <f t="shared" si="52"/>
        <v>1914.9087454545456</v>
      </c>
      <c r="E108" s="59">
        <f t="shared" si="62"/>
        <v>4.6153846153846141E-3</v>
      </c>
      <c r="F108" s="48" t="str">
        <f t="shared" si="53"/>
        <v>Sudah</v>
      </c>
      <c r="G108" s="1">
        <f t="shared" si="63"/>
        <v>390</v>
      </c>
      <c r="H108" s="48" t="str">
        <f t="shared" si="64"/>
        <v>Tarik</v>
      </c>
      <c r="I108" s="3">
        <f t="shared" si="65"/>
        <v>-1037.7623012603165</v>
      </c>
      <c r="J108" s="59">
        <f t="shared" si="55"/>
        <v>1.0939579451690151E-4</v>
      </c>
      <c r="K108" s="48" t="str">
        <f t="shared" si="56"/>
        <v>Belum</v>
      </c>
      <c r="L108" s="1">
        <f t="shared" si="66"/>
        <v>21.879158903380301</v>
      </c>
      <c r="M108" s="48" t="str">
        <f t="shared" si="67"/>
        <v>Tarik</v>
      </c>
      <c r="N108" s="3">
        <f t="shared" si="68"/>
        <v>5.0960930894524923</v>
      </c>
      <c r="O108" s="59">
        <f t="shared" si="69"/>
        <v>3.0000000000000001E-3</v>
      </c>
      <c r="P108" s="48" t="str">
        <f t="shared" si="70"/>
        <v>Sudah</v>
      </c>
      <c r="Q108" s="1">
        <f t="shared" si="71"/>
        <v>245</v>
      </c>
      <c r="R108" s="48" t="str">
        <f t="shared" si="72"/>
        <v>Tekan</v>
      </c>
      <c r="S108" s="3">
        <f t="shared" si="73"/>
        <v>2187.36</v>
      </c>
      <c r="T108" s="3">
        <f t="shared" si="74"/>
        <v>3069.6025372836816</v>
      </c>
      <c r="U108" s="60">
        <f t="shared" si="75"/>
        <v>-743.83838990474737</v>
      </c>
      <c r="V108" s="1">
        <f t="shared" si="76"/>
        <v>0.86794871794871786</v>
      </c>
      <c r="W108" s="3">
        <f t="shared" si="60"/>
        <v>2664.2575868475028</v>
      </c>
      <c r="X108" s="3">
        <f t="shared" si="77"/>
        <v>-645.61357687886402</v>
      </c>
    </row>
    <row r="109" spans="1:24" x14ac:dyDescent="0.25">
      <c r="A109" s="1">
        <v>-8</v>
      </c>
      <c r="B109" s="3">
        <f t="shared" si="78"/>
        <v>105.09090909090909</v>
      </c>
      <c r="C109" s="3">
        <f t="shared" si="51"/>
        <v>89.327272727272728</v>
      </c>
      <c r="D109" s="1">
        <f t="shared" si="52"/>
        <v>1767.6080727272727</v>
      </c>
      <c r="E109" s="59">
        <f t="shared" si="62"/>
        <v>5.2500000000000003E-3</v>
      </c>
      <c r="F109" s="48" t="str">
        <f t="shared" si="53"/>
        <v>Sudah</v>
      </c>
      <c r="G109" s="1">
        <f t="shared" si="63"/>
        <v>390</v>
      </c>
      <c r="H109" s="48" t="str">
        <f t="shared" si="64"/>
        <v>Tarik</v>
      </c>
      <c r="I109" s="3">
        <f t="shared" si="65"/>
        <v>-1037.7623012603165</v>
      </c>
      <c r="J109" s="59">
        <f t="shared" si="55"/>
        <v>3.685121107266435E-4</v>
      </c>
      <c r="K109" s="48" t="str">
        <f t="shared" si="56"/>
        <v>Belum</v>
      </c>
      <c r="L109" s="1">
        <f t="shared" si="66"/>
        <v>73.702422145328697</v>
      </c>
      <c r="M109" s="48" t="str">
        <f t="shared" si="67"/>
        <v>Tarik</v>
      </c>
      <c r="N109" s="3">
        <f t="shared" si="68"/>
        <v>-67.841704133055359</v>
      </c>
      <c r="O109" s="59">
        <f t="shared" si="69"/>
        <v>3.0000000000000001E-3</v>
      </c>
      <c r="P109" s="48" t="str">
        <f t="shared" si="70"/>
        <v>Sudah</v>
      </c>
      <c r="Q109" s="1">
        <f t="shared" si="71"/>
        <v>245</v>
      </c>
      <c r="R109" s="48" t="str">
        <f t="shared" si="72"/>
        <v>Tekan</v>
      </c>
      <c r="S109" s="3">
        <f t="shared" si="73"/>
        <v>2187.36</v>
      </c>
      <c r="T109" s="3">
        <f t="shared" si="74"/>
        <v>2849.3640673339009</v>
      </c>
      <c r="U109" s="60">
        <f t="shared" si="75"/>
        <v>-727.60953374164558</v>
      </c>
      <c r="V109" s="1">
        <f t="shared" si="76"/>
        <v>0.9</v>
      </c>
      <c r="W109" s="3">
        <f t="shared" si="60"/>
        <v>2564.427660600511</v>
      </c>
      <c r="X109" s="3">
        <f t="shared" si="77"/>
        <v>-654.84858036748108</v>
      </c>
    </row>
    <row r="110" spans="1:24" x14ac:dyDescent="0.25">
      <c r="A110" s="1">
        <v>-9</v>
      </c>
      <c r="B110" s="3">
        <f t="shared" si="78"/>
        <v>96.333333333333329</v>
      </c>
      <c r="C110" s="3">
        <f t="shared" si="51"/>
        <v>81.883333333333326</v>
      </c>
      <c r="D110" s="1">
        <f t="shared" si="52"/>
        <v>1620.3073999999997</v>
      </c>
      <c r="E110" s="59">
        <f t="shared" si="62"/>
        <v>6.0000000000000019E-3</v>
      </c>
      <c r="F110" s="48" t="str">
        <f t="shared" si="53"/>
        <v>Sudah</v>
      </c>
      <c r="G110" s="1">
        <f t="shared" si="63"/>
        <v>390</v>
      </c>
      <c r="H110" s="48" t="str">
        <f t="shared" si="64"/>
        <v>Tarik</v>
      </c>
      <c r="I110" s="3">
        <f t="shared" si="65"/>
        <v>-1037.7623012603165</v>
      </c>
      <c r="J110" s="59">
        <f t="shared" si="55"/>
        <v>6.7474048442906593E-4</v>
      </c>
      <c r="K110" s="48" t="str">
        <f t="shared" si="56"/>
        <v>Belum</v>
      </c>
      <c r="L110" s="1">
        <f t="shared" si="66"/>
        <v>134.94809688581319</v>
      </c>
      <c r="M110" s="48" t="str">
        <f t="shared" si="67"/>
        <v>Tarik</v>
      </c>
      <c r="N110" s="3">
        <f t="shared" si="68"/>
        <v>-154.04091903238287</v>
      </c>
      <c r="O110" s="59">
        <f t="shared" si="69"/>
        <v>3.0000000000000001E-3</v>
      </c>
      <c r="P110" s="48" t="str">
        <f t="shared" si="70"/>
        <v>Sudah</v>
      </c>
      <c r="Q110" s="1">
        <f t="shared" si="71"/>
        <v>245</v>
      </c>
      <c r="R110" s="48" t="str">
        <f t="shared" si="72"/>
        <v>Tekan</v>
      </c>
      <c r="S110" s="3">
        <f t="shared" si="73"/>
        <v>2187.36</v>
      </c>
      <c r="T110" s="3">
        <f t="shared" si="74"/>
        <v>2615.8641797073005</v>
      </c>
      <c r="U110" s="60">
        <f t="shared" si="75"/>
        <v>-709.52827949049686</v>
      </c>
      <c r="V110" s="1">
        <f t="shared" si="76"/>
        <v>0.9</v>
      </c>
      <c r="W110" s="3">
        <f t="shared" si="60"/>
        <v>2354.2777617365705</v>
      </c>
      <c r="X110" s="3">
        <f t="shared" si="77"/>
        <v>-638.57545154144714</v>
      </c>
    </row>
    <row r="111" spans="1:24" x14ac:dyDescent="0.25">
      <c r="A111" s="1">
        <v>-10</v>
      </c>
      <c r="B111" s="3">
        <f t="shared" si="78"/>
        <v>87.575757575757578</v>
      </c>
      <c r="C111" s="3">
        <f t="shared" si="51"/>
        <v>74.439393939393938</v>
      </c>
      <c r="D111" s="1">
        <f t="shared" si="52"/>
        <v>1473.0067272727274</v>
      </c>
      <c r="E111" s="59">
        <f t="shared" si="62"/>
        <v>6.9000000000000008E-3</v>
      </c>
      <c r="F111" s="48" t="str">
        <f t="shared" si="53"/>
        <v>Sudah</v>
      </c>
      <c r="G111" s="1">
        <f t="shared" si="63"/>
        <v>390</v>
      </c>
      <c r="H111" s="48" t="str">
        <f t="shared" si="64"/>
        <v>Tarik</v>
      </c>
      <c r="I111" s="3">
        <f t="shared" si="65"/>
        <v>-1037.7623012603165</v>
      </c>
      <c r="J111" s="59">
        <f t="shared" si="55"/>
        <v>1.0422145328719723E-3</v>
      </c>
      <c r="K111" s="48" t="str">
        <f t="shared" si="56"/>
        <v>Belum</v>
      </c>
      <c r="L111" s="1">
        <f t="shared" si="66"/>
        <v>208.44290657439447</v>
      </c>
      <c r="M111" s="48" t="str">
        <f t="shared" si="67"/>
        <v>Tarik</v>
      </c>
      <c r="N111" s="3">
        <f t="shared" si="68"/>
        <v>-257.47997691157576</v>
      </c>
      <c r="O111" s="59">
        <f t="shared" si="69"/>
        <v>3.0000000000000001E-3</v>
      </c>
      <c r="P111" s="48" t="str">
        <f t="shared" si="70"/>
        <v>Sudah</v>
      </c>
      <c r="Q111" s="1">
        <f t="shared" si="71"/>
        <v>245</v>
      </c>
      <c r="R111" s="48" t="str">
        <f t="shared" si="72"/>
        <v>Tekan</v>
      </c>
      <c r="S111" s="3">
        <f t="shared" si="73"/>
        <v>2187.36</v>
      </c>
      <c r="T111" s="3">
        <f t="shared" si="74"/>
        <v>2365.1244491008351</v>
      </c>
      <c r="U111" s="60">
        <f t="shared" si="75"/>
        <v>-689.36785690902752</v>
      </c>
      <c r="V111" s="1">
        <f t="shared" si="76"/>
        <v>0.9</v>
      </c>
      <c r="W111" s="3">
        <f t="shared" si="60"/>
        <v>2128.6120041907516</v>
      </c>
      <c r="X111" s="3">
        <f t="shared" si="77"/>
        <v>-620.43107121812477</v>
      </c>
    </row>
    <row r="112" spans="1:24" x14ac:dyDescent="0.25">
      <c r="A112" s="1">
        <v>-11</v>
      </c>
      <c r="B112" s="3">
        <f t="shared" si="78"/>
        <v>78.818181818181813</v>
      </c>
      <c r="C112" s="3">
        <f t="shared" si="51"/>
        <v>66.995454545454535</v>
      </c>
      <c r="D112" s="1">
        <f t="shared" si="52"/>
        <v>1325.7060545454544</v>
      </c>
      <c r="E112" s="59">
        <f t="shared" ref="E112:E120" si="79">ABS(B112-$Q$19)/B112*$G$21</f>
        <v>8.0000000000000019E-3</v>
      </c>
      <c r="F112" s="48" t="str">
        <f t="shared" si="53"/>
        <v>Sudah</v>
      </c>
      <c r="G112" s="1">
        <f t="shared" ref="G112:G120" si="80">IF(F112="Sudah",$G$6,E112*$G$7)</f>
        <v>390</v>
      </c>
      <c r="H112" s="48" t="str">
        <f t="shared" ref="H112:H120" si="81">IF(B112&gt;$Q$19,"Tekan","Tarik")</f>
        <v>Tarik</v>
      </c>
      <c r="I112" s="3">
        <f t="shared" ref="I112:I120" si="82">$L$13*G112/1000*IF(H112="Tarik",-1,1)</f>
        <v>-1037.7623012603165</v>
      </c>
      <c r="J112" s="59">
        <f t="shared" si="55"/>
        <v>1.4913494809688584E-3</v>
      </c>
      <c r="K112" s="48" t="str">
        <f t="shared" si="56"/>
        <v>Belum</v>
      </c>
      <c r="L112" s="1">
        <f t="shared" ref="L112:L120" si="83">IF(K112="Sudah",$G$6,J112*$G$7)</f>
        <v>298.26989619377167</v>
      </c>
      <c r="M112" s="48" t="str">
        <f t="shared" ref="M112:M120" si="84">IF(B112&gt;$Q$20,"Tekan","Tarik")</f>
        <v>Tarik</v>
      </c>
      <c r="N112" s="3">
        <f t="shared" ref="N112:N120" si="85">$L$14*(L112-$G$20*$G$5)/1000*IF(M112="Tarik",-1,1)</f>
        <v>-383.905492097256</v>
      </c>
      <c r="O112" s="59">
        <f t="shared" si="69"/>
        <v>3.0000000000000001E-3</v>
      </c>
      <c r="P112" s="48" t="str">
        <f t="shared" si="70"/>
        <v>Sudah</v>
      </c>
      <c r="Q112" s="1">
        <f t="shared" ref="Q112:Q120" si="86">IF(P112="Sudah",$G$16,O112*$G$17)</f>
        <v>245</v>
      </c>
      <c r="R112" s="48" t="str">
        <f t="shared" ref="R112:R120" si="87">IF(B112&gt;$Q$21,"Tekan","Tarik")</f>
        <v>Tekan</v>
      </c>
      <c r="S112" s="3">
        <f t="shared" ref="S112:S120" si="88">$L$15*Q112/1000*IF(R112="Tarik",-1,1)</f>
        <v>2187.36</v>
      </c>
      <c r="T112" s="3">
        <f t="shared" si="74"/>
        <v>2091.3982611878819</v>
      </c>
      <c r="U112" s="60">
        <f t="shared" si="75"/>
        <v>-666.80070898062013</v>
      </c>
      <c r="V112" s="1">
        <f t="shared" si="76"/>
        <v>0.9</v>
      </c>
      <c r="W112" s="3">
        <f t="shared" si="60"/>
        <v>1882.2584350690938</v>
      </c>
      <c r="X112" s="3">
        <f t="shared" si="77"/>
        <v>-600.12063808255812</v>
      </c>
    </row>
    <row r="113" spans="1:24" x14ac:dyDescent="0.25">
      <c r="A113" s="1">
        <v>-12</v>
      </c>
      <c r="B113" s="3">
        <f t="shared" si="78"/>
        <v>70.060606060606062</v>
      </c>
      <c r="C113" s="3">
        <f t="shared" si="51"/>
        <v>59.551515151515154</v>
      </c>
      <c r="D113" s="1">
        <f t="shared" si="52"/>
        <v>1178.4053818181819</v>
      </c>
      <c r="E113" s="59">
        <f t="shared" si="79"/>
        <v>9.3749999999999997E-3</v>
      </c>
      <c r="F113" s="48" t="str">
        <f t="shared" si="53"/>
        <v>Sudah</v>
      </c>
      <c r="G113" s="1">
        <f t="shared" si="80"/>
        <v>390</v>
      </c>
      <c r="H113" s="48" t="str">
        <f t="shared" si="81"/>
        <v>Tarik</v>
      </c>
      <c r="I113" s="3">
        <f t="shared" si="82"/>
        <v>-1037.7623012603165</v>
      </c>
      <c r="J113" s="59">
        <f t="shared" si="55"/>
        <v>2.0527681660899655E-3</v>
      </c>
      <c r="K113" s="48" t="str">
        <f t="shared" si="56"/>
        <v>Sudah</v>
      </c>
      <c r="L113" s="1">
        <f t="shared" si="83"/>
        <v>390</v>
      </c>
      <c r="M113" s="48" t="str">
        <f t="shared" si="84"/>
        <v>Tarik</v>
      </c>
      <c r="N113" s="3">
        <f t="shared" si="85"/>
        <v>-513.00951396059884</v>
      </c>
      <c r="O113" s="59">
        <f t="shared" si="69"/>
        <v>3.0000000000000001E-3</v>
      </c>
      <c r="P113" s="48" t="str">
        <f t="shared" si="70"/>
        <v>Sudah</v>
      </c>
      <c r="Q113" s="1">
        <f t="shared" si="86"/>
        <v>245</v>
      </c>
      <c r="R113" s="48" t="str">
        <f t="shared" si="87"/>
        <v>Tekan</v>
      </c>
      <c r="S113" s="3">
        <f t="shared" si="88"/>
        <v>2187.36</v>
      </c>
      <c r="T113" s="3">
        <f t="shared" si="74"/>
        <v>1814.9935665972666</v>
      </c>
      <c r="U113" s="60">
        <f t="shared" si="75"/>
        <v>-642.98438889111765</v>
      </c>
      <c r="V113" s="1">
        <f t="shared" si="76"/>
        <v>0.9</v>
      </c>
      <c r="W113" s="3">
        <f t="shared" si="60"/>
        <v>1633.4942099375401</v>
      </c>
      <c r="X113" s="3">
        <f t="shared" si="77"/>
        <v>-578.68595000200594</v>
      </c>
    </row>
    <row r="114" spans="1:24" x14ac:dyDescent="0.25">
      <c r="A114" s="1">
        <v>-13</v>
      </c>
      <c r="B114" s="3">
        <f t="shared" si="78"/>
        <v>61.303030303030297</v>
      </c>
      <c r="C114" s="3">
        <f t="shared" si="51"/>
        <v>52.107575757575752</v>
      </c>
      <c r="D114" s="1">
        <f t="shared" si="52"/>
        <v>1031.104709090909</v>
      </c>
      <c r="E114" s="59">
        <f t="shared" si="79"/>
        <v>1.1142857142857144E-2</v>
      </c>
      <c r="F114" s="48" t="str">
        <f t="shared" si="53"/>
        <v>Sudah</v>
      </c>
      <c r="G114" s="1">
        <f t="shared" si="80"/>
        <v>390</v>
      </c>
      <c r="H114" s="48" t="str">
        <f t="shared" si="81"/>
        <v>Tarik</v>
      </c>
      <c r="I114" s="3">
        <f t="shared" si="82"/>
        <v>-1037.7623012603165</v>
      </c>
      <c r="J114" s="59">
        <f t="shared" si="55"/>
        <v>2.7745921898171036E-3</v>
      </c>
      <c r="K114" s="48" t="str">
        <f t="shared" si="56"/>
        <v>Sudah</v>
      </c>
      <c r="L114" s="1">
        <f t="shared" si="83"/>
        <v>390</v>
      </c>
      <c r="M114" s="48" t="str">
        <f t="shared" si="84"/>
        <v>Tarik</v>
      </c>
      <c r="N114" s="3">
        <f t="shared" si="85"/>
        <v>-513.00951396059884</v>
      </c>
      <c r="O114" s="59">
        <f t="shared" si="69"/>
        <v>3.0000000000000001E-3</v>
      </c>
      <c r="P114" s="48" t="str">
        <f t="shared" si="70"/>
        <v>Sudah</v>
      </c>
      <c r="Q114" s="1">
        <f t="shared" si="86"/>
        <v>245</v>
      </c>
      <c r="R114" s="48" t="str">
        <f t="shared" si="87"/>
        <v>Tekan</v>
      </c>
      <c r="S114" s="3">
        <f t="shared" si="88"/>
        <v>2187.36</v>
      </c>
      <c r="T114" s="3">
        <f t="shared" si="74"/>
        <v>1667.6928938699939</v>
      </c>
      <c r="U114" s="60">
        <f t="shared" si="75"/>
        <v>-625.43050076735722</v>
      </c>
      <c r="V114" s="1">
        <f t="shared" si="76"/>
        <v>0.9</v>
      </c>
      <c r="W114" s="3">
        <f t="shared" si="60"/>
        <v>1500.9236044829945</v>
      </c>
      <c r="X114" s="3">
        <f t="shared" si="77"/>
        <v>-562.88745069062156</v>
      </c>
    </row>
    <row r="115" spans="1:24" x14ac:dyDescent="0.25">
      <c r="A115" s="1">
        <v>-14</v>
      </c>
      <c r="B115" s="3">
        <f t="shared" si="78"/>
        <v>52.545454545454561</v>
      </c>
      <c r="C115" s="3">
        <f t="shared" si="51"/>
        <v>44.663636363636378</v>
      </c>
      <c r="D115" s="1">
        <f t="shared" si="52"/>
        <v>883.80403636363656</v>
      </c>
      <c r="E115" s="59">
        <f t="shared" si="79"/>
        <v>1.3499999999999995E-2</v>
      </c>
      <c r="F115" s="48" t="str">
        <f t="shared" si="53"/>
        <v>Sudah</v>
      </c>
      <c r="G115" s="1">
        <f t="shared" si="80"/>
        <v>390</v>
      </c>
      <c r="H115" s="48" t="str">
        <f t="shared" si="81"/>
        <v>Tarik</v>
      </c>
      <c r="I115" s="3">
        <f t="shared" si="82"/>
        <v>-1037.7623012603165</v>
      </c>
      <c r="J115" s="59">
        <f t="shared" si="55"/>
        <v>3.7370242214532852E-3</v>
      </c>
      <c r="K115" s="48" t="str">
        <f t="shared" si="56"/>
        <v>Sudah</v>
      </c>
      <c r="L115" s="1">
        <f t="shared" si="83"/>
        <v>390</v>
      </c>
      <c r="M115" s="48" t="str">
        <f t="shared" si="84"/>
        <v>Tarik</v>
      </c>
      <c r="N115" s="3">
        <f t="shared" si="85"/>
        <v>-513.00951396059884</v>
      </c>
      <c r="O115" s="59">
        <f t="shared" si="69"/>
        <v>3.0000000000000001E-3</v>
      </c>
      <c r="P115" s="48" t="str">
        <f t="shared" si="70"/>
        <v>Sudah</v>
      </c>
      <c r="Q115" s="1">
        <f t="shared" si="86"/>
        <v>245</v>
      </c>
      <c r="R115" s="48" t="str">
        <f t="shared" si="87"/>
        <v>Tekan</v>
      </c>
      <c r="S115" s="3">
        <f t="shared" si="88"/>
        <v>2187.36</v>
      </c>
      <c r="T115" s="3">
        <f t="shared" si="74"/>
        <v>1520.3922211427214</v>
      </c>
      <c r="U115" s="60">
        <f t="shared" si="75"/>
        <v>-606.78011536312863</v>
      </c>
      <c r="V115" s="1">
        <f t="shared" si="76"/>
        <v>0.9</v>
      </c>
      <c r="W115" s="3">
        <f t="shared" si="60"/>
        <v>1368.3529990284492</v>
      </c>
      <c r="X115" s="3">
        <f t="shared" si="77"/>
        <v>-546.10210382681578</v>
      </c>
    </row>
    <row r="116" spans="1:24" x14ac:dyDescent="0.25">
      <c r="A116" s="1">
        <v>-15</v>
      </c>
      <c r="B116" s="3">
        <f t="shared" si="78"/>
        <v>43.787878787878782</v>
      </c>
      <c r="C116" s="3">
        <f t="shared" si="51"/>
        <v>37.219696969696962</v>
      </c>
      <c r="D116" s="1">
        <f t="shared" si="52"/>
        <v>736.50336363636347</v>
      </c>
      <c r="E116" s="59">
        <f t="shared" si="79"/>
        <v>1.6800000000000002E-2</v>
      </c>
      <c r="F116" s="48" t="str">
        <f t="shared" si="53"/>
        <v>Sudah</v>
      </c>
      <c r="G116" s="1">
        <f t="shared" si="80"/>
        <v>390</v>
      </c>
      <c r="H116" s="48" t="str">
        <f t="shared" si="81"/>
        <v>Tarik</v>
      </c>
      <c r="I116" s="3">
        <f t="shared" si="82"/>
        <v>-1037.7623012603165</v>
      </c>
      <c r="J116" s="59">
        <f t="shared" si="55"/>
        <v>5.0844290657439464E-3</v>
      </c>
      <c r="K116" s="48" t="str">
        <f t="shared" si="56"/>
        <v>Sudah</v>
      </c>
      <c r="L116" s="1">
        <f t="shared" si="83"/>
        <v>390</v>
      </c>
      <c r="M116" s="48" t="str">
        <f t="shared" si="84"/>
        <v>Tarik</v>
      </c>
      <c r="N116" s="3">
        <f t="shared" si="85"/>
        <v>-513.00951396059884</v>
      </c>
      <c r="O116" s="59">
        <f t="shared" si="69"/>
        <v>3.0000000000000001E-3</v>
      </c>
      <c r="P116" s="48" t="str">
        <f t="shared" si="70"/>
        <v>Sudah</v>
      </c>
      <c r="Q116" s="1">
        <f t="shared" si="86"/>
        <v>245</v>
      </c>
      <c r="R116" s="48" t="str">
        <f t="shared" si="87"/>
        <v>Tekan</v>
      </c>
      <c r="S116" s="3">
        <f t="shared" si="88"/>
        <v>2187.36</v>
      </c>
      <c r="T116" s="3">
        <f t="shared" si="74"/>
        <v>1373.0915484154484</v>
      </c>
      <c r="U116" s="60">
        <f t="shared" si="75"/>
        <v>-587.03323267843155</v>
      </c>
      <c r="V116" s="1">
        <f t="shared" si="76"/>
        <v>0.9</v>
      </c>
      <c r="W116" s="3">
        <f t="shared" si="60"/>
        <v>1235.7823935739036</v>
      </c>
      <c r="X116" s="3">
        <f t="shared" si="77"/>
        <v>-528.32990941058836</v>
      </c>
    </row>
    <row r="117" spans="1:24" x14ac:dyDescent="0.25">
      <c r="A117" s="1">
        <v>-16</v>
      </c>
      <c r="B117" s="3">
        <f t="shared" si="78"/>
        <v>35.030303030303031</v>
      </c>
      <c r="C117" s="3">
        <f t="shared" si="51"/>
        <v>29.775757575757577</v>
      </c>
      <c r="D117" s="1">
        <f t="shared" si="52"/>
        <v>589.20269090909096</v>
      </c>
      <c r="E117" s="59">
        <f t="shared" si="79"/>
        <v>2.1750000000000002E-2</v>
      </c>
      <c r="F117" s="48" t="str">
        <f t="shared" si="53"/>
        <v>Sudah</v>
      </c>
      <c r="G117" s="1">
        <f t="shared" si="80"/>
        <v>390</v>
      </c>
      <c r="H117" s="48" t="str">
        <f t="shared" si="81"/>
        <v>Tarik</v>
      </c>
      <c r="I117" s="3">
        <f t="shared" si="82"/>
        <v>-1037.7623012603165</v>
      </c>
      <c r="J117" s="59">
        <f t="shared" si="55"/>
        <v>7.1055363321799302E-3</v>
      </c>
      <c r="K117" s="48" t="str">
        <f t="shared" si="56"/>
        <v>Sudah</v>
      </c>
      <c r="L117" s="1">
        <f t="shared" si="83"/>
        <v>390</v>
      </c>
      <c r="M117" s="48" t="str">
        <f t="shared" si="84"/>
        <v>Tarik</v>
      </c>
      <c r="N117" s="3">
        <f t="shared" si="85"/>
        <v>-513.00951396059884</v>
      </c>
      <c r="O117" s="59">
        <f t="shared" si="69"/>
        <v>3.0000000000000001E-3</v>
      </c>
      <c r="P117" s="48" t="str">
        <f t="shared" si="70"/>
        <v>Sudah</v>
      </c>
      <c r="Q117" s="1">
        <f t="shared" si="86"/>
        <v>245</v>
      </c>
      <c r="R117" s="48" t="str">
        <f t="shared" si="87"/>
        <v>Tekan</v>
      </c>
      <c r="S117" s="3">
        <f t="shared" si="88"/>
        <v>2187.36</v>
      </c>
      <c r="T117" s="3">
        <f t="shared" si="74"/>
        <v>1225.7908756881757</v>
      </c>
      <c r="U117" s="60">
        <f t="shared" si="75"/>
        <v>-566.18985271326642</v>
      </c>
      <c r="V117" s="1">
        <f t="shared" si="76"/>
        <v>0.9</v>
      </c>
      <c r="W117" s="3">
        <f t="shared" si="60"/>
        <v>1103.2117881193581</v>
      </c>
      <c r="X117" s="3">
        <f t="shared" si="77"/>
        <v>-509.57086744193981</v>
      </c>
    </row>
    <row r="118" spans="1:24" x14ac:dyDescent="0.25">
      <c r="A118" s="1">
        <v>-17</v>
      </c>
      <c r="B118" s="3">
        <f t="shared" si="78"/>
        <v>26.27272727272728</v>
      </c>
      <c r="C118" s="3">
        <f t="shared" si="51"/>
        <v>22.331818181818189</v>
      </c>
      <c r="D118" s="1">
        <f t="shared" si="52"/>
        <v>441.90201818181828</v>
      </c>
      <c r="E118" s="59">
        <f t="shared" si="79"/>
        <v>2.9999999999999995E-2</v>
      </c>
      <c r="F118" s="48" t="str">
        <f t="shared" si="53"/>
        <v>Sudah</v>
      </c>
      <c r="G118" s="1">
        <f t="shared" si="80"/>
        <v>390</v>
      </c>
      <c r="H118" s="48" t="str">
        <f t="shared" si="81"/>
        <v>Tarik</v>
      </c>
      <c r="I118" s="3">
        <f t="shared" si="82"/>
        <v>-1037.7623012603165</v>
      </c>
      <c r="J118" s="59">
        <f t="shared" si="55"/>
        <v>1.047404844290657E-2</v>
      </c>
      <c r="K118" s="48" t="str">
        <f t="shared" si="56"/>
        <v>Sudah</v>
      </c>
      <c r="L118" s="1">
        <f t="shared" si="83"/>
        <v>390</v>
      </c>
      <c r="M118" s="48" t="str">
        <f t="shared" si="84"/>
        <v>Tarik</v>
      </c>
      <c r="N118" s="3">
        <f t="shared" si="85"/>
        <v>-513.00951396059884</v>
      </c>
      <c r="O118" s="59">
        <f t="shared" si="69"/>
        <v>3.0000000000000001E-3</v>
      </c>
      <c r="P118" s="48" t="str">
        <f t="shared" si="70"/>
        <v>Sudah</v>
      </c>
      <c r="Q118" s="1">
        <f t="shared" si="86"/>
        <v>245</v>
      </c>
      <c r="R118" s="48" t="str">
        <f t="shared" si="87"/>
        <v>Tekan</v>
      </c>
      <c r="S118" s="3">
        <f t="shared" si="88"/>
        <v>2187.36</v>
      </c>
      <c r="T118" s="3">
        <f t="shared" si="74"/>
        <v>1078.4902029609029</v>
      </c>
      <c r="U118" s="60">
        <f t="shared" si="75"/>
        <v>-544.24997546763279</v>
      </c>
      <c r="V118" s="1">
        <f t="shared" si="76"/>
        <v>0.9</v>
      </c>
      <c r="W118" s="3">
        <f t="shared" si="60"/>
        <v>970.64118266481262</v>
      </c>
      <c r="X118" s="3">
        <f t="shared" si="77"/>
        <v>-489.82497792086951</v>
      </c>
    </row>
    <row r="119" spans="1:24" x14ac:dyDescent="0.25">
      <c r="A119" s="1">
        <v>-18</v>
      </c>
      <c r="B119" s="3">
        <f t="shared" si="78"/>
        <v>17.515151515151501</v>
      </c>
      <c r="C119" s="3">
        <f t="shared" si="51"/>
        <v>14.887878787878776</v>
      </c>
      <c r="D119" s="1">
        <f t="shared" si="52"/>
        <v>294.60134545454525</v>
      </c>
      <c r="E119" s="59">
        <f t="shared" si="79"/>
        <v>4.6500000000000041E-2</v>
      </c>
      <c r="F119" s="48" t="str">
        <f t="shared" si="53"/>
        <v>Sudah</v>
      </c>
      <c r="G119" s="1">
        <f t="shared" si="80"/>
        <v>390</v>
      </c>
      <c r="H119" s="48" t="str">
        <f t="shared" si="81"/>
        <v>Tarik</v>
      </c>
      <c r="I119" s="3">
        <f t="shared" si="82"/>
        <v>-1037.7623012603165</v>
      </c>
      <c r="J119" s="59">
        <f t="shared" si="55"/>
        <v>1.721107266435988E-2</v>
      </c>
      <c r="K119" s="48" t="str">
        <f t="shared" si="56"/>
        <v>Sudah</v>
      </c>
      <c r="L119" s="1">
        <f t="shared" si="83"/>
        <v>390</v>
      </c>
      <c r="M119" s="48" t="str">
        <f t="shared" si="84"/>
        <v>Tarik</v>
      </c>
      <c r="N119" s="3">
        <f t="shared" si="85"/>
        <v>-513.00951396059884</v>
      </c>
      <c r="O119" s="59">
        <f t="shared" si="69"/>
        <v>3.0000000000000001E-3</v>
      </c>
      <c r="P119" s="48" t="str">
        <f t="shared" si="70"/>
        <v>Sudah</v>
      </c>
      <c r="Q119" s="1">
        <f t="shared" si="86"/>
        <v>245</v>
      </c>
      <c r="R119" s="48" t="str">
        <f t="shared" si="87"/>
        <v>Tekan</v>
      </c>
      <c r="S119" s="3">
        <f t="shared" si="88"/>
        <v>2187.36</v>
      </c>
      <c r="T119" s="3">
        <f t="shared" si="74"/>
        <v>931.18953023363019</v>
      </c>
      <c r="U119" s="60">
        <f t="shared" si="75"/>
        <v>-521.21360094153067</v>
      </c>
      <c r="V119" s="1">
        <f t="shared" si="76"/>
        <v>0.9</v>
      </c>
      <c r="W119" s="3">
        <f t="shared" si="60"/>
        <v>838.07057721026717</v>
      </c>
      <c r="X119" s="3">
        <f t="shared" si="77"/>
        <v>-469.09224084737764</v>
      </c>
    </row>
    <row r="120" spans="1:24" x14ac:dyDescent="0.25">
      <c r="A120" s="1">
        <v>-19</v>
      </c>
      <c r="B120" s="3">
        <f t="shared" si="78"/>
        <v>8.7575757575757791</v>
      </c>
      <c r="C120" s="3">
        <f t="shared" si="51"/>
        <v>7.4439393939394121</v>
      </c>
      <c r="D120" s="1">
        <f t="shared" si="52"/>
        <v>147.30067272727311</v>
      </c>
      <c r="E120" s="59">
        <f t="shared" si="79"/>
        <v>9.5999999999999766E-2</v>
      </c>
      <c r="F120" s="48" t="str">
        <f t="shared" si="53"/>
        <v>Sudah</v>
      </c>
      <c r="G120" s="1">
        <f t="shared" si="80"/>
        <v>390</v>
      </c>
      <c r="H120" s="48" t="str">
        <f t="shared" si="81"/>
        <v>Tarik</v>
      </c>
      <c r="I120" s="3">
        <f t="shared" si="82"/>
        <v>-1037.7623012603165</v>
      </c>
      <c r="J120" s="59">
        <f t="shared" si="55"/>
        <v>3.7422145328719625E-2</v>
      </c>
      <c r="K120" s="48" t="str">
        <f t="shared" si="56"/>
        <v>Sudah</v>
      </c>
      <c r="L120" s="1">
        <f t="shared" si="83"/>
        <v>390</v>
      </c>
      <c r="M120" s="48" t="str">
        <f t="shared" si="84"/>
        <v>Tarik</v>
      </c>
      <c r="N120" s="3">
        <f t="shared" si="85"/>
        <v>-513.00951396059884</v>
      </c>
      <c r="O120" s="59">
        <f t="shared" si="69"/>
        <v>3.0000000000000001E-3</v>
      </c>
      <c r="P120" s="48" t="str">
        <f t="shared" si="70"/>
        <v>Sudah</v>
      </c>
      <c r="Q120" s="1">
        <f t="shared" si="86"/>
        <v>245</v>
      </c>
      <c r="R120" s="48" t="str">
        <f t="shared" si="87"/>
        <v>Tekan</v>
      </c>
      <c r="S120" s="3">
        <f t="shared" si="88"/>
        <v>2187.36</v>
      </c>
      <c r="T120" s="3">
        <f t="shared" si="74"/>
        <v>783.88885750635791</v>
      </c>
      <c r="U120" s="60">
        <f t="shared" si="75"/>
        <v>-497.08072913496056</v>
      </c>
      <c r="V120" s="1">
        <f t="shared" si="76"/>
        <v>0.9</v>
      </c>
      <c r="W120" s="3">
        <f t="shared" si="60"/>
        <v>705.49997175572219</v>
      </c>
      <c r="X120" s="3">
        <f t="shared" si="77"/>
        <v>-447.37265622146452</v>
      </c>
    </row>
    <row r="121" spans="1:24" s="68" customFormat="1" x14ac:dyDescent="0.25">
      <c r="A121" s="1" t="s">
        <v>215</v>
      </c>
      <c r="B121" s="62">
        <v>1E-14</v>
      </c>
      <c r="C121" s="3">
        <f t="shared" ref="C121" si="89">$G$20*B121</f>
        <v>8.5000000000000001E-15</v>
      </c>
      <c r="D121" s="1">
        <f>0.85*$G$5*C121*$G$8/1000</f>
        <v>1.6819800000000001E-13</v>
      </c>
      <c r="E121" s="59">
        <f t="shared" ref="E121" si="90">ABS(B121-$Q$19)/B121*$G$21</f>
        <v>86700000000000</v>
      </c>
      <c r="F121" s="48" t="str">
        <f t="shared" ref="F121" si="91">IF(E121&lt;$G$6/$G$7,"Belum","Sudah")</f>
        <v>Sudah</v>
      </c>
      <c r="G121" s="1">
        <f t="shared" ref="G121" si="92">IF(F121="Sudah",$G$6,E121*$G$7)</f>
        <v>390</v>
      </c>
      <c r="H121" s="48" t="str">
        <f t="shared" ref="H121" si="93">IF(B121&gt;$Q$19,"Tekan","Tarik")</f>
        <v>Tarik</v>
      </c>
      <c r="I121" s="3">
        <f t="shared" ref="I121" si="94">$L$13*G121/1000*IF(H121="Tarik",-1,1)</f>
        <v>-1037.7623012603165</v>
      </c>
      <c r="J121" s="59">
        <f>ABS(B121-$Q$20)/B121*$G$21</f>
        <v>35399999999999.992</v>
      </c>
      <c r="K121" s="48" t="str">
        <f t="shared" ref="K121" si="95">IF(J121&lt;$G$6/$G$7,"Belum","Sudah")</f>
        <v>Sudah</v>
      </c>
      <c r="L121" s="1">
        <f t="shared" ref="L121" si="96">IF(K121="Sudah",$G$6,J121*$G$7)</f>
        <v>390</v>
      </c>
      <c r="M121" s="48" t="str">
        <f t="shared" ref="M121" si="97">IF(B121&gt;$Q$20,"Tekan","Tarik")</f>
        <v>Tarik</v>
      </c>
      <c r="N121" s="3">
        <f t="shared" ref="N121" si="98">$L$14*(L121-$G$20*$G$5)/1000*IF(M121="Tarik",-1,1)</f>
        <v>-513.00951396059884</v>
      </c>
      <c r="O121" s="59">
        <f>ABS(B121-$Q$21)/B121*$G$21</f>
        <v>3.0000000000000001E-3</v>
      </c>
      <c r="P121" s="48" t="str">
        <f>IF(O121&lt;$G$16/$G$17,"Belum","Sudah")</f>
        <v>Sudah</v>
      </c>
      <c r="Q121" s="1">
        <f t="shared" ref="Q121" si="99">IF(P121="Sudah",$G$16,O121*$G$17)</f>
        <v>245</v>
      </c>
      <c r="R121" s="48" t="str">
        <f t="shared" ref="R121" si="100">IF(B121&gt;$Q$21,"Tekan","Tarik")</f>
        <v>Tekan</v>
      </c>
      <c r="S121" s="3">
        <f t="shared" ref="S121" si="101">$L$15*Q121/1000*IF(R121="Tarik",-1,1)</f>
        <v>2187.36</v>
      </c>
      <c r="T121" s="3">
        <f t="shared" si="74"/>
        <v>636.58818477908517</v>
      </c>
      <c r="U121" s="60">
        <f t="shared" si="75"/>
        <v>-471.85136004792201</v>
      </c>
      <c r="V121" s="1">
        <f t="shared" si="76"/>
        <v>0.9</v>
      </c>
      <c r="W121" s="3">
        <f t="shared" si="60"/>
        <v>572.92936630117663</v>
      </c>
      <c r="X121" s="3">
        <f t="shared" si="77"/>
        <v>-424.66622404312983</v>
      </c>
    </row>
    <row r="123" spans="1:24" x14ac:dyDescent="0.25">
      <c r="E123"/>
      <c r="F123"/>
      <c r="H123"/>
      <c r="P123"/>
    </row>
    <row r="124" spans="1:24" ht="15" customHeight="1" x14ac:dyDescent="0.25">
      <c r="E124"/>
      <c r="F124"/>
      <c r="H124"/>
      <c r="P124"/>
    </row>
    <row r="125" spans="1:24" x14ac:dyDescent="0.25">
      <c r="E125"/>
      <c r="F125"/>
      <c r="H125"/>
      <c r="P125"/>
    </row>
    <row r="126" spans="1:24" x14ac:dyDescent="0.25">
      <c r="E126"/>
      <c r="F126"/>
      <c r="H126"/>
      <c r="P126"/>
    </row>
    <row r="127" spans="1:24" x14ac:dyDescent="0.25">
      <c r="E127"/>
      <c r="F127"/>
      <c r="H127"/>
      <c r="P127"/>
    </row>
    <row r="128" spans="1:24" x14ac:dyDescent="0.25">
      <c r="E128"/>
      <c r="F128"/>
      <c r="H128"/>
      <c r="P128"/>
    </row>
    <row r="129" customFormat="1" x14ac:dyDescent="0.25"/>
    <row r="130" customFormat="1" x14ac:dyDescent="0.25"/>
  </sheetData>
  <mergeCells count="18">
    <mergeCell ref="J18:M18"/>
    <mergeCell ref="O18:R18"/>
    <mergeCell ref="A78:A79"/>
    <mergeCell ref="B78:D78"/>
    <mergeCell ref="E78:I78"/>
    <mergeCell ref="J78:N78"/>
    <mergeCell ref="O78:S78"/>
    <mergeCell ref="O33:S33"/>
    <mergeCell ref="A33:A34"/>
    <mergeCell ref="B33:D33"/>
    <mergeCell ref="E33:I33"/>
    <mergeCell ref="J33:N33"/>
    <mergeCell ref="W33:X33"/>
    <mergeCell ref="V33:V34"/>
    <mergeCell ref="V78:V79"/>
    <mergeCell ref="W78:X78"/>
    <mergeCell ref="T78:U78"/>
    <mergeCell ref="T33:U33"/>
  </mergeCells>
  <phoneticPr fontId="19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53FE-34E7-4922-8CD3-123838F931AC}">
  <sheetPr codeName="Sheet7"/>
  <dimension ref="A1:X128"/>
  <sheetViews>
    <sheetView topLeftCell="A10" zoomScaleNormal="100" workbookViewId="0">
      <selection activeCell="X110" sqref="X110"/>
    </sheetView>
  </sheetViews>
  <sheetFormatPr defaultRowHeight="15" x14ac:dyDescent="0.25"/>
  <cols>
    <col min="1" max="1" width="9.7109375" style="64" customWidth="1"/>
    <col min="2" max="4" width="9.140625" style="64"/>
    <col min="5" max="5" width="9.140625" style="50" customWidth="1"/>
    <col min="6" max="6" width="7.28515625" style="52" customWidth="1"/>
    <col min="7" max="7" width="9.140625" style="64"/>
    <col min="8" max="8" width="7.140625" style="52" customWidth="1"/>
    <col min="9" max="9" width="9.140625" style="64"/>
    <col min="10" max="10" width="9.140625" style="64" customWidth="1"/>
    <col min="11" max="11" width="7.28515625" style="64" customWidth="1"/>
    <col min="12" max="12" width="9.140625" style="64"/>
    <col min="13" max="13" width="7.28515625" style="64" customWidth="1"/>
    <col min="14" max="15" width="9.140625" style="64"/>
    <col min="16" max="16" width="7.28515625" style="52" customWidth="1"/>
    <col min="17" max="17" width="9.140625" style="64"/>
    <col min="18" max="18" width="7.28515625" style="64" customWidth="1"/>
    <col min="19" max="19" width="9.140625" style="64"/>
    <col min="20" max="20" width="12" style="64" customWidth="1"/>
    <col min="21" max="21" width="12.140625" style="64" customWidth="1"/>
    <col min="22" max="22" width="6.28515625" style="64" customWidth="1"/>
    <col min="23" max="24" width="12.140625" style="64" customWidth="1"/>
    <col min="25" max="16384" width="9.140625" style="64"/>
  </cols>
  <sheetData>
    <row r="1" spans="1:13" x14ac:dyDescent="0.25">
      <c r="B1" s="64" t="s">
        <v>2080</v>
      </c>
    </row>
    <row r="3" spans="1:13" x14ac:dyDescent="0.25">
      <c r="A3" s="64" t="s">
        <v>155</v>
      </c>
    </row>
    <row r="4" spans="1:13" x14ac:dyDescent="0.25">
      <c r="A4" s="64">
        <v>1</v>
      </c>
      <c r="B4" s="64" t="s">
        <v>158</v>
      </c>
    </row>
    <row r="5" spans="1:13" x14ac:dyDescent="0.25">
      <c r="B5" s="64" t="s">
        <v>173</v>
      </c>
      <c r="E5" s="50" t="s">
        <v>156</v>
      </c>
      <c r="F5" s="52" t="s">
        <v>52</v>
      </c>
      <c r="G5" s="64">
        <v>30</v>
      </c>
      <c r="H5" s="54" t="s">
        <v>110</v>
      </c>
    </row>
    <row r="6" spans="1:13" x14ac:dyDescent="0.25">
      <c r="B6" s="64" t="s">
        <v>172</v>
      </c>
      <c r="E6" s="50" t="s">
        <v>157</v>
      </c>
      <c r="F6" s="52" t="s">
        <v>52</v>
      </c>
      <c r="G6" s="64">
        <v>390</v>
      </c>
      <c r="H6" s="54" t="s">
        <v>110</v>
      </c>
    </row>
    <row r="7" spans="1:13" x14ac:dyDescent="0.25">
      <c r="E7" s="50" t="s">
        <v>174</v>
      </c>
      <c r="F7" s="52" t="s">
        <v>52</v>
      </c>
      <c r="G7" s="64">
        <v>200000</v>
      </c>
      <c r="H7" s="54" t="s">
        <v>110</v>
      </c>
    </row>
    <row r="8" spans="1:13" x14ac:dyDescent="0.25">
      <c r="B8" s="64" t="s">
        <v>159</v>
      </c>
      <c r="E8" s="50" t="s">
        <v>79</v>
      </c>
      <c r="F8" s="52" t="s">
        <v>52</v>
      </c>
      <c r="G8" s="64">
        <v>776</v>
      </c>
      <c r="H8" s="54" t="s">
        <v>63</v>
      </c>
    </row>
    <row r="9" spans="1:13" x14ac:dyDescent="0.25">
      <c r="B9" s="64" t="s">
        <v>160</v>
      </c>
      <c r="E9" s="50" t="s">
        <v>161</v>
      </c>
      <c r="F9" s="52" t="s">
        <v>52</v>
      </c>
      <c r="G9" s="64">
        <v>350</v>
      </c>
      <c r="H9" s="54" t="s">
        <v>63</v>
      </c>
    </row>
    <row r="10" spans="1:13" x14ac:dyDescent="0.25">
      <c r="B10" s="64" t="s">
        <v>162</v>
      </c>
      <c r="E10" s="50" t="s">
        <v>164</v>
      </c>
      <c r="F10" s="52" t="s">
        <v>52</v>
      </c>
      <c r="G10" s="64">
        <v>22</v>
      </c>
      <c r="H10" s="54" t="s">
        <v>63</v>
      </c>
    </row>
    <row r="11" spans="1:13" x14ac:dyDescent="0.25">
      <c r="B11" s="64" t="s">
        <v>167</v>
      </c>
      <c r="E11" s="50" t="s">
        <v>170</v>
      </c>
      <c r="F11" s="52" t="s">
        <v>52</v>
      </c>
      <c r="G11" s="64">
        <v>7</v>
      </c>
      <c r="H11" s="54" t="s">
        <v>168</v>
      </c>
    </row>
    <row r="12" spans="1:13" x14ac:dyDescent="0.25">
      <c r="B12" s="64" t="s">
        <v>166</v>
      </c>
      <c r="E12" s="50" t="s">
        <v>165</v>
      </c>
      <c r="F12" s="52" t="s">
        <v>52</v>
      </c>
      <c r="G12" s="64">
        <v>16</v>
      </c>
      <c r="H12" s="54" t="s">
        <v>63</v>
      </c>
      <c r="J12" s="50" t="s">
        <v>210</v>
      </c>
      <c r="K12" s="52" t="s">
        <v>52</v>
      </c>
      <c r="L12" s="64">
        <f>G8*G9</f>
        <v>271600</v>
      </c>
      <c r="M12" s="64" t="s">
        <v>176</v>
      </c>
    </row>
    <row r="13" spans="1:13" x14ac:dyDescent="0.25">
      <c r="B13" s="64" t="s">
        <v>169</v>
      </c>
      <c r="E13" s="50" t="s">
        <v>171</v>
      </c>
      <c r="F13" s="52" t="s">
        <v>52</v>
      </c>
      <c r="G13" s="64">
        <v>7</v>
      </c>
      <c r="H13" s="54" t="s">
        <v>168</v>
      </c>
      <c r="J13" s="50" t="s">
        <v>175</v>
      </c>
      <c r="K13" s="52" t="s">
        <v>52</v>
      </c>
      <c r="L13" s="51">
        <f>0.25*PI()*G10^2*G11</f>
        <v>2660.928977590555</v>
      </c>
      <c r="M13" s="64" t="s">
        <v>176</v>
      </c>
    </row>
    <row r="14" spans="1:13" x14ac:dyDescent="0.25">
      <c r="H14" s="54"/>
      <c r="J14" s="50" t="s">
        <v>177</v>
      </c>
      <c r="K14" s="52" t="s">
        <v>52</v>
      </c>
      <c r="L14" s="51">
        <f>0.25*PI()*G12^2*G13</f>
        <v>1407.4335088082273</v>
      </c>
      <c r="M14" s="64" t="s">
        <v>176</v>
      </c>
    </row>
    <row r="15" spans="1:13" x14ac:dyDescent="0.25">
      <c r="A15" s="64">
        <v>2</v>
      </c>
      <c r="B15" s="64" t="s">
        <v>181</v>
      </c>
      <c r="H15" s="54"/>
      <c r="J15" s="50" t="s">
        <v>178</v>
      </c>
      <c r="K15" s="52" t="s">
        <v>52</v>
      </c>
      <c r="L15" s="64">
        <v>8928</v>
      </c>
      <c r="M15" s="64" t="s">
        <v>176</v>
      </c>
    </row>
    <row r="16" spans="1:13" x14ac:dyDescent="0.25">
      <c r="E16" s="50" t="s">
        <v>157</v>
      </c>
      <c r="F16" s="52" t="s">
        <v>52</v>
      </c>
      <c r="G16" s="64">
        <v>245</v>
      </c>
      <c r="H16" s="54" t="s">
        <v>110</v>
      </c>
      <c r="J16" s="50" t="s">
        <v>188</v>
      </c>
      <c r="K16" s="52" t="s">
        <v>52</v>
      </c>
      <c r="L16" s="51">
        <f>SUM(L13:L15)</f>
        <v>12996.362486398782</v>
      </c>
      <c r="M16" s="64" t="s">
        <v>176</v>
      </c>
    </row>
    <row r="17" spans="1:18" x14ac:dyDescent="0.25">
      <c r="E17" s="50" t="s">
        <v>174</v>
      </c>
      <c r="F17" s="52" t="s">
        <v>52</v>
      </c>
      <c r="G17" s="64">
        <v>200000</v>
      </c>
      <c r="H17" s="54" t="s">
        <v>110</v>
      </c>
    </row>
    <row r="18" spans="1:18" x14ac:dyDescent="0.25">
      <c r="B18" s="64" t="s">
        <v>4</v>
      </c>
      <c r="E18" s="50" t="s">
        <v>182</v>
      </c>
      <c r="F18" s="52" t="s">
        <v>52</v>
      </c>
      <c r="G18" s="64">
        <v>9</v>
      </c>
      <c r="H18" s="54" t="s">
        <v>63</v>
      </c>
      <c r="J18" s="159" t="s">
        <v>193</v>
      </c>
      <c r="K18" s="159"/>
      <c r="L18" s="159"/>
      <c r="M18" s="159"/>
      <c r="O18" s="159" t="s">
        <v>216</v>
      </c>
      <c r="P18" s="159"/>
      <c r="Q18" s="159"/>
      <c r="R18" s="159"/>
    </row>
    <row r="19" spans="1:18" x14ac:dyDescent="0.25">
      <c r="H19" s="54"/>
      <c r="J19" s="50" t="s">
        <v>163</v>
      </c>
      <c r="K19" s="52" t="s">
        <v>52</v>
      </c>
      <c r="L19" s="64">
        <v>61</v>
      </c>
      <c r="M19" s="64" t="s">
        <v>63</v>
      </c>
      <c r="O19" s="50" t="s">
        <v>1088</v>
      </c>
      <c r="P19" s="52" t="s">
        <v>52</v>
      </c>
      <c r="Q19" s="64">
        <f>G9-L19</f>
        <v>289</v>
      </c>
      <c r="R19" s="64" t="s">
        <v>63</v>
      </c>
    </row>
    <row r="20" spans="1:18" x14ac:dyDescent="0.25">
      <c r="A20" s="64" t="s">
        <v>184</v>
      </c>
      <c r="E20" s="50" t="s">
        <v>185</v>
      </c>
      <c r="F20" s="52" t="s">
        <v>52</v>
      </c>
      <c r="G20" s="64">
        <v>0.85</v>
      </c>
      <c r="H20" s="54" t="s">
        <v>186</v>
      </c>
      <c r="J20" s="50" t="s">
        <v>179</v>
      </c>
      <c r="K20" s="52" t="s">
        <v>52</v>
      </c>
      <c r="L20" s="64">
        <v>232</v>
      </c>
      <c r="M20" s="64" t="s">
        <v>63</v>
      </c>
      <c r="O20" s="50" t="s">
        <v>1089</v>
      </c>
      <c r="P20" s="52" t="s">
        <v>52</v>
      </c>
      <c r="Q20" s="64">
        <f>G9-L20</f>
        <v>118</v>
      </c>
      <c r="R20" s="64" t="s">
        <v>63</v>
      </c>
    </row>
    <row r="21" spans="1:18" x14ac:dyDescent="0.25">
      <c r="A21" s="64" t="s">
        <v>212</v>
      </c>
      <c r="E21" s="50" t="s">
        <v>187</v>
      </c>
      <c r="F21" s="52" t="s">
        <v>52</v>
      </c>
      <c r="G21" s="64">
        <v>3.0000000000000001E-3</v>
      </c>
      <c r="H21" s="54"/>
      <c r="J21" s="50" t="s">
        <v>180</v>
      </c>
      <c r="K21" s="52" t="s">
        <v>52</v>
      </c>
      <c r="L21" s="64">
        <v>350</v>
      </c>
      <c r="M21" s="64" t="s">
        <v>63</v>
      </c>
      <c r="O21" s="50" t="s">
        <v>1090</v>
      </c>
      <c r="P21" s="52" t="s">
        <v>52</v>
      </c>
      <c r="Q21" s="64">
        <f>G9-L21</f>
        <v>0</v>
      </c>
      <c r="R21" s="64" t="s">
        <v>63</v>
      </c>
    </row>
    <row r="22" spans="1:18" x14ac:dyDescent="0.25">
      <c r="H22" s="54"/>
    </row>
    <row r="23" spans="1:18" x14ac:dyDescent="0.25">
      <c r="A23" s="64" t="s">
        <v>183</v>
      </c>
      <c r="E23" s="50" t="s">
        <v>189</v>
      </c>
      <c r="F23" s="52" t="s">
        <v>52</v>
      </c>
      <c r="G23" s="64">
        <f>SQRT(G5)/(4*G6)*G8*G9</f>
        <v>953.59901678463541</v>
      </c>
      <c r="H23" s="54" t="s">
        <v>176</v>
      </c>
      <c r="I23" s="64" t="str">
        <f>IF(L16&lt;G23,"Tidak OK!","OK!")</f>
        <v>OK!</v>
      </c>
    </row>
    <row r="24" spans="1:18" x14ac:dyDescent="0.25">
      <c r="E24" s="50" t="s">
        <v>190</v>
      </c>
      <c r="F24" s="52" t="s">
        <v>52</v>
      </c>
      <c r="G24" s="64">
        <f>1.4/G6*G8*G9</f>
        <v>974.97435897435889</v>
      </c>
      <c r="H24" s="54" t="s">
        <v>176</v>
      </c>
      <c r="I24" s="64" t="str">
        <f>IF(L16&lt;G24,"Tidak OK!","OK!")</f>
        <v>OK!</v>
      </c>
    </row>
    <row r="25" spans="1:18" x14ac:dyDescent="0.25">
      <c r="H25" s="54"/>
    </row>
    <row r="26" spans="1:18" x14ac:dyDescent="0.25">
      <c r="A26" s="64" t="s">
        <v>191</v>
      </c>
      <c r="E26" s="50" t="s">
        <v>192</v>
      </c>
      <c r="F26" s="52" t="s">
        <v>52</v>
      </c>
      <c r="G26" s="64">
        <f>L16/(G8*G9)</f>
        <v>4.7851113720172249E-2</v>
      </c>
      <c r="H26" s="54"/>
    </row>
    <row r="27" spans="1:18" x14ac:dyDescent="0.25">
      <c r="H27" s="54"/>
    </row>
    <row r="28" spans="1:18" x14ac:dyDescent="0.25">
      <c r="A28" s="64" t="s">
        <v>199</v>
      </c>
      <c r="D28" s="64" t="s">
        <v>200</v>
      </c>
      <c r="E28" s="50" t="s">
        <v>201</v>
      </c>
      <c r="F28" s="52" t="s">
        <v>52</v>
      </c>
      <c r="G28" s="64">
        <v>0.8</v>
      </c>
      <c r="H28" s="54"/>
    </row>
    <row r="29" spans="1:18" x14ac:dyDescent="0.25">
      <c r="D29" s="64" t="s">
        <v>202</v>
      </c>
      <c r="E29" s="50" t="s">
        <v>201</v>
      </c>
      <c r="F29" s="52" t="s">
        <v>52</v>
      </c>
      <c r="G29" s="64">
        <v>0.65</v>
      </c>
      <c r="H29" s="54" t="s">
        <v>203</v>
      </c>
    </row>
    <row r="30" spans="1:18" x14ac:dyDescent="0.25">
      <c r="H30" s="54"/>
    </row>
    <row r="31" spans="1:18" x14ac:dyDescent="0.25">
      <c r="H31" s="54"/>
    </row>
    <row r="32" spans="1:18" x14ac:dyDescent="0.25">
      <c r="A32" s="64" t="s">
        <v>2078</v>
      </c>
    </row>
    <row r="33" spans="1:24" x14ac:dyDescent="0.25">
      <c r="A33" s="160" t="s">
        <v>193</v>
      </c>
      <c r="B33" s="156" t="s">
        <v>173</v>
      </c>
      <c r="C33" s="156"/>
      <c r="D33" s="156"/>
      <c r="E33" s="156" t="s">
        <v>1092</v>
      </c>
      <c r="F33" s="156"/>
      <c r="G33" s="156"/>
      <c r="H33" s="156"/>
      <c r="I33" s="156"/>
      <c r="J33" s="156" t="s">
        <v>1091</v>
      </c>
      <c r="K33" s="156"/>
      <c r="L33" s="156"/>
      <c r="M33" s="156"/>
      <c r="N33" s="156"/>
      <c r="O33" s="156" t="s">
        <v>1093</v>
      </c>
      <c r="P33" s="156"/>
      <c r="Q33" s="156"/>
      <c r="R33" s="156"/>
      <c r="S33" s="156"/>
      <c r="T33" s="156" t="s">
        <v>2034</v>
      </c>
      <c r="U33" s="156"/>
      <c r="V33" s="158" t="s">
        <v>201</v>
      </c>
      <c r="W33" s="156" t="s">
        <v>2035</v>
      </c>
      <c r="X33" s="156"/>
    </row>
    <row r="34" spans="1:24" x14ac:dyDescent="0.25">
      <c r="A34" s="160"/>
      <c r="B34" s="48" t="s">
        <v>194</v>
      </c>
      <c r="C34" s="48" t="s">
        <v>195</v>
      </c>
      <c r="D34" s="48" t="s">
        <v>196</v>
      </c>
      <c r="E34" s="48" t="s">
        <v>197</v>
      </c>
      <c r="F34" s="48" t="s">
        <v>213</v>
      </c>
      <c r="G34" s="48" t="s">
        <v>214</v>
      </c>
      <c r="H34" s="48" t="s">
        <v>198</v>
      </c>
      <c r="I34" s="48" t="s">
        <v>204</v>
      </c>
      <c r="J34" s="48" t="s">
        <v>197</v>
      </c>
      <c r="K34" s="48" t="s">
        <v>213</v>
      </c>
      <c r="L34" s="48" t="s">
        <v>214</v>
      </c>
      <c r="M34" s="48" t="s">
        <v>198</v>
      </c>
      <c r="N34" s="48" t="s">
        <v>205</v>
      </c>
      <c r="O34" s="48" t="s">
        <v>197</v>
      </c>
      <c r="P34" s="48" t="s">
        <v>213</v>
      </c>
      <c r="Q34" s="48" t="s">
        <v>214</v>
      </c>
      <c r="R34" s="48" t="s">
        <v>198</v>
      </c>
      <c r="S34" s="48" t="s">
        <v>206</v>
      </c>
      <c r="T34" s="55" t="s">
        <v>207</v>
      </c>
      <c r="U34" s="55" t="s">
        <v>208</v>
      </c>
      <c r="V34" s="158"/>
      <c r="W34" s="55" t="s">
        <v>207</v>
      </c>
      <c r="X34" s="55" t="s">
        <v>208</v>
      </c>
    </row>
    <row r="35" spans="1:24" x14ac:dyDescent="0.25">
      <c r="A35" s="48" t="s">
        <v>209</v>
      </c>
      <c r="B35" s="1"/>
      <c r="C35" s="1"/>
      <c r="D35" s="1"/>
      <c r="E35" s="59"/>
      <c r="F35" s="48"/>
      <c r="G35" s="1"/>
      <c r="H35" s="48"/>
      <c r="I35" s="3"/>
      <c r="J35" s="1"/>
      <c r="K35" s="1"/>
      <c r="L35" s="1"/>
      <c r="M35" s="1"/>
      <c r="N35" s="1"/>
      <c r="O35" s="1"/>
      <c r="P35" s="48"/>
      <c r="Q35" s="1"/>
      <c r="R35" s="1"/>
      <c r="S35" s="1"/>
      <c r="T35" s="3">
        <f>0.8*($G$20*$G$5*($L$12-($L$13+$L$14))+$G$6*($L$13+$L$14))/1000</f>
        <v>6726.9745010338866</v>
      </c>
      <c r="U35" s="60">
        <v>0</v>
      </c>
      <c r="V35" s="1">
        <f>$G$29</f>
        <v>0.65</v>
      </c>
      <c r="W35" s="3">
        <f>T35*V35</f>
        <v>4372.5334256720262</v>
      </c>
      <c r="X35" s="1">
        <f>U35*V35</f>
        <v>0</v>
      </c>
    </row>
    <row r="36" spans="1:24" x14ac:dyDescent="0.25">
      <c r="A36" s="1">
        <v>20</v>
      </c>
      <c r="B36" s="3">
        <f>$B$56+(A36/20*($L$20-$B$56))</f>
        <v>232</v>
      </c>
      <c r="C36" s="3">
        <f t="shared" ref="C36:C54" si="0">$G$20*B36</f>
        <v>197.2</v>
      </c>
      <c r="D36" s="1">
        <f t="shared" ref="D36:D54" si="1">0.85*$G$5*C36*$G$8/1000</f>
        <v>3902.1935999999996</v>
      </c>
      <c r="E36" s="59">
        <f t="shared" ref="E36:E66" si="2">ABS(B36-$L$19)/B36*$G$21</f>
        <v>2.2112068965517242E-3</v>
      </c>
      <c r="F36" s="48" t="str">
        <f t="shared" ref="F36:F54" si="3">IF(E36&lt;$G$6/$G$7,"Belum","Sudah")</f>
        <v>Sudah</v>
      </c>
      <c r="G36" s="1">
        <f t="shared" ref="G36:G54" si="4">IF(F36="Sudah",$G$6,E36*$G$7)</f>
        <v>390</v>
      </c>
      <c r="H36" s="48" t="str">
        <f t="shared" ref="H36:H66" si="5">IF(B36&gt;$L$19,"Tekan","Tarik")</f>
        <v>Tekan</v>
      </c>
      <c r="I36" s="3">
        <f t="shared" ref="I36:I54" si="6">$L$13*(G36-$G$20*$G$5)/1000*IF(H36="Tarik",-1,1)</f>
        <v>969.90861233175735</v>
      </c>
      <c r="J36" s="59">
        <f t="shared" ref="J36:J66" si="7">ABS(B36-$L$20)/B36*$G$21</f>
        <v>0</v>
      </c>
      <c r="K36" s="48" t="str">
        <f t="shared" ref="K36:K54" si="8">IF(J36&lt;$G$6/$G$7,"Belum","Sudah")</f>
        <v>Belum</v>
      </c>
      <c r="L36" s="1">
        <f t="shared" ref="L36:L54" si="9">IF(K36="Sudah",$G$6,J36*$G$7)</f>
        <v>0</v>
      </c>
      <c r="M36" s="48" t="str">
        <f t="shared" ref="M36:M66" si="10">IF(B36&gt;$L$20,"Tekan","Tarik")</f>
        <v>Tarik</v>
      </c>
      <c r="N36" s="3">
        <f t="shared" ref="N36:N54" si="11">$L$14*L36/1000*IF(M36="Tarik",-1,1)</f>
        <v>0</v>
      </c>
      <c r="O36" s="59"/>
      <c r="P36" s="48"/>
      <c r="Q36" s="1"/>
      <c r="R36" s="48"/>
      <c r="S36" s="3"/>
      <c r="T36" s="3">
        <f>(D36+I36+N36)</f>
        <v>4872.1022123317571</v>
      </c>
      <c r="U36" s="60">
        <f>(D36*($G$9/2-C36/2)+I36*($G$9/2-$L$19)-N36*ABS($G$9/2-$L$20))/1000</f>
        <v>408.69717284582032</v>
      </c>
      <c r="V36" s="1">
        <f>IF(J36&lt;0.002,$G$29,IF(J36&gt;0.005,0.9,0.65+(J36-0.002)*(250/3)))</f>
        <v>0.65</v>
      </c>
      <c r="W36" s="3">
        <f t="shared" ref="W36:W72" si="12">T36*V36</f>
        <v>3166.8664380156424</v>
      </c>
      <c r="X36" s="3">
        <f>U36*V36</f>
        <v>265.6531623497832</v>
      </c>
    </row>
    <row r="37" spans="1:24" x14ac:dyDescent="0.25">
      <c r="A37" s="1">
        <v>19</v>
      </c>
      <c r="B37" s="3">
        <f t="shared" ref="B37:B55" si="13">$B$56+(A37/20*($L$20-$B$56))</f>
        <v>227.43030303030304</v>
      </c>
      <c r="C37" s="3">
        <f t="shared" si="0"/>
        <v>193.31575757575757</v>
      </c>
      <c r="D37" s="1">
        <f t="shared" si="1"/>
        <v>3825.3322109090905</v>
      </c>
      <c r="E37" s="59">
        <f t="shared" si="2"/>
        <v>2.1953578851995948E-3</v>
      </c>
      <c r="F37" s="48" t="str">
        <f t="shared" si="3"/>
        <v>Sudah</v>
      </c>
      <c r="G37" s="1">
        <f t="shared" si="4"/>
        <v>390</v>
      </c>
      <c r="H37" s="48" t="str">
        <f t="shared" si="5"/>
        <v>Tekan</v>
      </c>
      <c r="I37" s="3">
        <f t="shared" si="6"/>
        <v>969.90861233175735</v>
      </c>
      <c r="J37" s="59">
        <f t="shared" si="7"/>
        <v>6.0278207109737158E-5</v>
      </c>
      <c r="K37" s="48" t="str">
        <f t="shared" si="8"/>
        <v>Belum</v>
      </c>
      <c r="L37" s="1">
        <f t="shared" si="9"/>
        <v>12.055641421947431</v>
      </c>
      <c r="M37" s="48" t="str">
        <f t="shared" si="10"/>
        <v>Tarik</v>
      </c>
      <c r="N37" s="3">
        <f t="shared" si="11"/>
        <v>-16.967513707425283</v>
      </c>
      <c r="O37" s="59"/>
      <c r="P37" s="48"/>
      <c r="Q37" s="1"/>
      <c r="R37" s="48"/>
      <c r="S37" s="3"/>
      <c r="T37" s="3">
        <f t="shared" ref="T37:T72" si="14">(D37+I37+N37)</f>
        <v>4778.2733095334224</v>
      </c>
      <c r="U37" s="60">
        <f t="shared" ref="U37:U72" si="15">(D37*($G$9/2-C37/2)+I37*($G$9/2-$L$19)-N37*ABS($G$9/2-$L$20))/1000</f>
        <v>411.22136983081521</v>
      </c>
      <c r="V37" s="1">
        <f t="shared" ref="V37:V72" si="16">IF(J37&lt;0.002,$G$29,IF(J37&gt;0.005,0.9,0.65+(J37-0.002)*(250/3)))</f>
        <v>0.65</v>
      </c>
      <c r="W37" s="3">
        <f t="shared" si="12"/>
        <v>3105.8776511967249</v>
      </c>
      <c r="X37" s="3">
        <f t="shared" ref="X37:X72" si="17">U37*V37</f>
        <v>267.2938903900299</v>
      </c>
    </row>
    <row r="38" spans="1:24" x14ac:dyDescent="0.25">
      <c r="A38" s="1">
        <v>18</v>
      </c>
      <c r="B38" s="3">
        <f t="shared" si="13"/>
        <v>222.86060606060607</v>
      </c>
      <c r="C38" s="3">
        <f t="shared" si="0"/>
        <v>189.43151515151516</v>
      </c>
      <c r="D38" s="1">
        <f t="shared" si="1"/>
        <v>3748.4708218181818</v>
      </c>
      <c r="E38" s="59">
        <f t="shared" si="2"/>
        <v>2.1788589143913848E-3</v>
      </c>
      <c r="F38" s="48" t="str">
        <f t="shared" si="3"/>
        <v>Sudah</v>
      </c>
      <c r="G38" s="1">
        <f t="shared" si="4"/>
        <v>390</v>
      </c>
      <c r="H38" s="48" t="str">
        <f t="shared" si="5"/>
        <v>Tekan</v>
      </c>
      <c r="I38" s="3">
        <f t="shared" si="6"/>
        <v>969.90861233175735</v>
      </c>
      <c r="J38" s="59">
        <f t="shared" si="7"/>
        <v>1.2302839116719224E-4</v>
      </c>
      <c r="K38" s="48" t="str">
        <f t="shared" si="8"/>
        <v>Belum</v>
      </c>
      <c r="L38" s="1">
        <f t="shared" si="9"/>
        <v>24.605678233438447</v>
      </c>
      <c r="M38" s="48" t="str">
        <f t="shared" si="10"/>
        <v>Tarik</v>
      </c>
      <c r="N38" s="3">
        <f t="shared" si="11"/>
        <v>-34.630856052694497</v>
      </c>
      <c r="O38" s="59"/>
      <c r="P38" s="48"/>
      <c r="Q38" s="1"/>
      <c r="R38" s="48"/>
      <c r="S38" s="3"/>
      <c r="T38" s="3">
        <f t="shared" si="14"/>
        <v>4683.7485780972447</v>
      </c>
      <c r="U38" s="60">
        <f t="shared" si="15"/>
        <v>413.48668077987401</v>
      </c>
      <c r="V38" s="1">
        <f t="shared" si="16"/>
        <v>0.65</v>
      </c>
      <c r="W38" s="3">
        <f t="shared" si="12"/>
        <v>3044.436575763209</v>
      </c>
      <c r="X38" s="3">
        <f t="shared" si="17"/>
        <v>268.76634250691814</v>
      </c>
    </row>
    <row r="39" spans="1:24" x14ac:dyDescent="0.25">
      <c r="A39" s="1">
        <v>17</v>
      </c>
      <c r="B39" s="3">
        <f t="shared" si="13"/>
        <v>218.29090909090911</v>
      </c>
      <c r="C39" s="3">
        <f t="shared" si="0"/>
        <v>185.54727272727274</v>
      </c>
      <c r="D39" s="1">
        <f t="shared" si="1"/>
        <v>3671.6094327272731</v>
      </c>
      <c r="E39" s="59">
        <f t="shared" si="2"/>
        <v>2.1616691654172916E-3</v>
      </c>
      <c r="F39" s="48" t="str">
        <f t="shared" si="3"/>
        <v>Sudah</v>
      </c>
      <c r="G39" s="1">
        <f t="shared" si="4"/>
        <v>390</v>
      </c>
      <c r="H39" s="48" t="str">
        <f t="shared" si="5"/>
        <v>Tekan</v>
      </c>
      <c r="I39" s="3">
        <f t="shared" si="6"/>
        <v>969.90861233175735</v>
      </c>
      <c r="J39" s="59">
        <f t="shared" si="7"/>
        <v>1.88405797101449E-4</v>
      </c>
      <c r="K39" s="48" t="str">
        <f t="shared" si="8"/>
        <v>Belum</v>
      </c>
      <c r="L39" s="1">
        <f t="shared" si="9"/>
        <v>37.681159420289802</v>
      </c>
      <c r="M39" s="48" t="str">
        <f t="shared" si="10"/>
        <v>Tarik</v>
      </c>
      <c r="N39" s="3">
        <f t="shared" si="11"/>
        <v>-53.033726418860667</v>
      </c>
      <c r="O39" s="59"/>
      <c r="P39" s="48"/>
      <c r="Q39" s="1"/>
      <c r="R39" s="48"/>
      <c r="S39" s="3"/>
      <c r="T39" s="3">
        <f t="shared" si="14"/>
        <v>4588.4843186401695</v>
      </c>
      <c r="U39" s="60">
        <f t="shared" si="15"/>
        <v>415.49559655783094</v>
      </c>
      <c r="V39" s="1">
        <f t="shared" si="16"/>
        <v>0.65</v>
      </c>
      <c r="W39" s="3">
        <f t="shared" si="12"/>
        <v>2982.5148071161102</v>
      </c>
      <c r="X39" s="3">
        <f t="shared" si="17"/>
        <v>270.0721377625901</v>
      </c>
    </row>
    <row r="40" spans="1:24" x14ac:dyDescent="0.25">
      <c r="A40" s="1">
        <v>16</v>
      </c>
      <c r="B40" s="3">
        <f t="shared" si="13"/>
        <v>213.72121212121215</v>
      </c>
      <c r="C40" s="3">
        <f t="shared" si="0"/>
        <v>181.66303030303033</v>
      </c>
      <c r="D40" s="1">
        <f t="shared" si="1"/>
        <v>3594.7480436363639</v>
      </c>
      <c r="E40" s="59">
        <f t="shared" si="2"/>
        <v>2.143744328493648E-3</v>
      </c>
      <c r="F40" s="48" t="str">
        <f t="shared" si="3"/>
        <v>Sudah</v>
      </c>
      <c r="G40" s="1">
        <f t="shared" si="4"/>
        <v>390</v>
      </c>
      <c r="H40" s="48" t="str">
        <f t="shared" si="5"/>
        <v>Tekan</v>
      </c>
      <c r="I40" s="3">
        <f t="shared" si="6"/>
        <v>969.90861233175735</v>
      </c>
      <c r="J40" s="59">
        <f t="shared" si="7"/>
        <v>2.5657894736842067E-4</v>
      </c>
      <c r="K40" s="48" t="str">
        <f t="shared" si="8"/>
        <v>Belum</v>
      </c>
      <c r="L40" s="1">
        <f t="shared" si="9"/>
        <v>51.315789473684134</v>
      </c>
      <c r="M40" s="48" t="str">
        <f t="shared" si="10"/>
        <v>Tarik</v>
      </c>
      <c r="N40" s="3">
        <f t="shared" si="11"/>
        <v>-72.223561636211556</v>
      </c>
      <c r="O40" s="59"/>
      <c r="P40" s="48"/>
      <c r="Q40" s="1"/>
      <c r="R40" s="48"/>
      <c r="S40" s="3"/>
      <c r="T40" s="3">
        <f t="shared" si="14"/>
        <v>4492.4330943319101</v>
      </c>
      <c r="U40" s="60">
        <f t="shared" si="15"/>
        <v>417.25082106401226</v>
      </c>
      <c r="V40" s="1">
        <f t="shared" si="16"/>
        <v>0.65</v>
      </c>
      <c r="W40" s="3">
        <f t="shared" si="12"/>
        <v>2920.0815113157419</v>
      </c>
      <c r="X40" s="3">
        <f t="shared" si="17"/>
        <v>271.21303369160796</v>
      </c>
    </row>
    <row r="41" spans="1:24" x14ac:dyDescent="0.25">
      <c r="A41" s="1">
        <v>15</v>
      </c>
      <c r="B41" s="3">
        <f t="shared" si="13"/>
        <v>209.15151515151516</v>
      </c>
      <c r="C41" s="3">
        <f t="shared" si="0"/>
        <v>177.77878787878788</v>
      </c>
      <c r="D41" s="1">
        <f t="shared" si="1"/>
        <v>3517.8866545454543</v>
      </c>
      <c r="E41" s="59">
        <f t="shared" si="2"/>
        <v>2.1250362213851058E-3</v>
      </c>
      <c r="F41" s="48" t="str">
        <f t="shared" si="3"/>
        <v>Sudah</v>
      </c>
      <c r="G41" s="1">
        <f t="shared" si="4"/>
        <v>390</v>
      </c>
      <c r="H41" s="48" t="str">
        <f t="shared" si="5"/>
        <v>Tekan</v>
      </c>
      <c r="I41" s="3">
        <f t="shared" si="6"/>
        <v>969.90861233175735</v>
      </c>
      <c r="J41" s="59">
        <f t="shared" si="7"/>
        <v>3.2773109243697474E-4</v>
      </c>
      <c r="K41" s="48" t="str">
        <f t="shared" si="8"/>
        <v>Belum</v>
      </c>
      <c r="L41" s="1">
        <f t="shared" si="9"/>
        <v>65.546218487394952</v>
      </c>
      <c r="M41" s="48" t="str">
        <f t="shared" si="10"/>
        <v>Tarik</v>
      </c>
      <c r="N41" s="3">
        <f t="shared" si="11"/>
        <v>-92.251944274824965</v>
      </c>
      <c r="O41" s="59"/>
      <c r="P41" s="48"/>
      <c r="Q41" s="1"/>
      <c r="R41" s="48"/>
      <c r="S41" s="3"/>
      <c r="T41" s="3">
        <f t="shared" si="14"/>
        <v>4395.5433226023861</v>
      </c>
      <c r="U41" s="60">
        <f t="shared" si="15"/>
        <v>418.7552945049124</v>
      </c>
      <c r="V41" s="1">
        <f t="shared" si="16"/>
        <v>0.65</v>
      </c>
      <c r="W41" s="3">
        <f t="shared" si="12"/>
        <v>2857.1031596915509</v>
      </c>
      <c r="X41" s="3">
        <f t="shared" si="17"/>
        <v>272.19094142819307</v>
      </c>
    </row>
    <row r="42" spans="1:24" x14ac:dyDescent="0.25">
      <c r="A42" s="1">
        <v>14</v>
      </c>
      <c r="B42" s="3">
        <f t="shared" si="13"/>
        <v>204.58181818181819</v>
      </c>
      <c r="C42" s="3">
        <f t="shared" si="0"/>
        <v>173.89454545454547</v>
      </c>
      <c r="D42" s="1">
        <f t="shared" si="1"/>
        <v>3441.0252654545457</v>
      </c>
      <c r="E42" s="59">
        <f t="shared" si="2"/>
        <v>2.1054923569143263E-3</v>
      </c>
      <c r="F42" s="48" t="str">
        <f t="shared" si="3"/>
        <v>Sudah</v>
      </c>
      <c r="G42" s="1">
        <f t="shared" si="4"/>
        <v>390</v>
      </c>
      <c r="H42" s="48" t="str">
        <f t="shared" si="5"/>
        <v>Tekan</v>
      </c>
      <c r="I42" s="3">
        <f t="shared" si="6"/>
        <v>969.90861233175735</v>
      </c>
      <c r="J42" s="59">
        <f t="shared" si="7"/>
        <v>4.0206185567010291E-4</v>
      </c>
      <c r="K42" s="48" t="str">
        <f t="shared" si="8"/>
        <v>Belum</v>
      </c>
      <c r="L42" s="1">
        <f t="shared" si="9"/>
        <v>80.412371134020589</v>
      </c>
      <c r="M42" s="48" t="str">
        <f t="shared" si="10"/>
        <v>Tarik</v>
      </c>
      <c r="N42" s="3">
        <f t="shared" si="11"/>
        <v>-113.17506565674401</v>
      </c>
      <c r="O42" s="59"/>
      <c r="P42" s="48"/>
      <c r="Q42" s="1"/>
      <c r="R42" s="48"/>
      <c r="S42" s="3"/>
      <c r="T42" s="3">
        <f t="shared" si="14"/>
        <v>4297.7588121295594</v>
      </c>
      <c r="U42" s="60">
        <f t="shared" si="15"/>
        <v>420.01221978588779</v>
      </c>
      <c r="V42" s="1">
        <f t="shared" si="16"/>
        <v>0.65</v>
      </c>
      <c r="W42" s="3">
        <f t="shared" si="12"/>
        <v>2793.5432278842136</v>
      </c>
      <c r="X42" s="3">
        <f t="shared" si="17"/>
        <v>273.00794286082709</v>
      </c>
    </row>
    <row r="43" spans="1:24" x14ac:dyDescent="0.25">
      <c r="A43" s="1">
        <v>13</v>
      </c>
      <c r="B43" s="3">
        <f t="shared" si="13"/>
        <v>200.01212121212123</v>
      </c>
      <c r="C43" s="3">
        <f t="shared" si="0"/>
        <v>170.01030303030305</v>
      </c>
      <c r="D43" s="1">
        <f t="shared" si="1"/>
        <v>3364.163876363637</v>
      </c>
      <c r="E43" s="59">
        <f t="shared" si="2"/>
        <v>2.0850554511847768E-3</v>
      </c>
      <c r="F43" s="48" t="str">
        <f t="shared" si="3"/>
        <v>Sudah</v>
      </c>
      <c r="G43" s="1">
        <f t="shared" si="4"/>
        <v>390</v>
      </c>
      <c r="H43" s="48" t="str">
        <f t="shared" si="5"/>
        <v>Tekan</v>
      </c>
      <c r="I43" s="3">
        <f t="shared" si="6"/>
        <v>969.90861233175735</v>
      </c>
      <c r="J43" s="59">
        <f t="shared" si="7"/>
        <v>4.797891036906851E-4</v>
      </c>
      <c r="K43" s="48" t="str">
        <f t="shared" si="8"/>
        <v>Belum</v>
      </c>
      <c r="L43" s="1">
        <f t="shared" si="9"/>
        <v>95.957820738137016</v>
      </c>
      <c r="M43" s="48" t="str">
        <f t="shared" si="10"/>
        <v>Tarik</v>
      </c>
      <c r="N43" s="3">
        <f t="shared" si="11"/>
        <v>-135.05425233906706</v>
      </c>
      <c r="O43" s="59"/>
      <c r="P43" s="48"/>
      <c r="Q43" s="1"/>
      <c r="R43" s="48"/>
      <c r="S43" s="3"/>
      <c r="T43" s="3">
        <f t="shared" si="14"/>
        <v>4199.0182363563272</v>
      </c>
      <c r="U43" s="60">
        <f t="shared" si="15"/>
        <v>421.02509252069319</v>
      </c>
      <c r="V43" s="1">
        <f t="shared" si="16"/>
        <v>0.65</v>
      </c>
      <c r="W43" s="3">
        <f t="shared" si="12"/>
        <v>2729.3618536316126</v>
      </c>
      <c r="X43" s="3">
        <f t="shared" si="17"/>
        <v>273.66631013845057</v>
      </c>
    </row>
    <row r="44" spans="1:24" x14ac:dyDescent="0.25">
      <c r="A44" s="1">
        <v>12</v>
      </c>
      <c r="B44" s="3">
        <f t="shared" si="13"/>
        <v>195.44242424242424</v>
      </c>
      <c r="C44" s="3">
        <f t="shared" si="0"/>
        <v>166.12606060606061</v>
      </c>
      <c r="D44" s="1">
        <f t="shared" si="1"/>
        <v>3287.3024872727274</v>
      </c>
      <c r="E44" s="59">
        <f t="shared" si="2"/>
        <v>2.063662862813198E-3</v>
      </c>
      <c r="F44" s="48" t="str">
        <f t="shared" si="3"/>
        <v>Sudah</v>
      </c>
      <c r="G44" s="1">
        <f t="shared" si="4"/>
        <v>390</v>
      </c>
      <c r="H44" s="48" t="str">
        <f t="shared" si="5"/>
        <v>Tekan</v>
      </c>
      <c r="I44" s="3">
        <f t="shared" si="6"/>
        <v>969.90861233175735</v>
      </c>
      <c r="J44" s="59">
        <f t="shared" si="7"/>
        <v>5.6115107913669077E-4</v>
      </c>
      <c r="K44" s="48" t="str">
        <f t="shared" si="8"/>
        <v>Belum</v>
      </c>
      <c r="L44" s="1">
        <f t="shared" si="9"/>
        <v>112.23021582733816</v>
      </c>
      <c r="M44" s="48" t="str">
        <f t="shared" si="10"/>
        <v>Tarik</v>
      </c>
      <c r="N44" s="3">
        <f t="shared" si="11"/>
        <v>-157.95656645617518</v>
      </c>
      <c r="O44" s="59"/>
      <c r="P44" s="48"/>
      <c r="Q44" s="1"/>
      <c r="R44" s="48"/>
      <c r="S44" s="3"/>
      <c r="T44" s="3">
        <f t="shared" si="14"/>
        <v>4099.2545331483097</v>
      </c>
      <c r="U44" s="60">
        <f t="shared" si="15"/>
        <v>421.79773525098824</v>
      </c>
      <c r="V44" s="1">
        <f t="shared" si="16"/>
        <v>0.65</v>
      </c>
      <c r="W44" s="3">
        <f t="shared" si="12"/>
        <v>2664.5154465464016</v>
      </c>
      <c r="X44" s="3">
        <f t="shared" si="17"/>
        <v>274.16852791314238</v>
      </c>
    </row>
    <row r="45" spans="1:24" x14ac:dyDescent="0.25">
      <c r="A45" s="1">
        <v>11</v>
      </c>
      <c r="B45" s="3">
        <f t="shared" si="13"/>
        <v>190.87272727272727</v>
      </c>
      <c r="C45" s="3">
        <f t="shared" si="0"/>
        <v>162.24181818181819</v>
      </c>
      <c r="D45" s="1">
        <f t="shared" si="1"/>
        <v>3210.4410981818182</v>
      </c>
      <c r="E45" s="59">
        <f t="shared" si="2"/>
        <v>2.0412459516098306E-3</v>
      </c>
      <c r="F45" s="48" t="str">
        <f t="shared" si="3"/>
        <v>Sudah</v>
      </c>
      <c r="G45" s="1">
        <f t="shared" si="4"/>
        <v>390</v>
      </c>
      <c r="H45" s="48" t="str">
        <f t="shared" si="5"/>
        <v>Tekan</v>
      </c>
      <c r="I45" s="3">
        <f t="shared" si="6"/>
        <v>969.90861233175735</v>
      </c>
      <c r="J45" s="59">
        <f t="shared" si="7"/>
        <v>6.4640883977900546E-4</v>
      </c>
      <c r="K45" s="48" t="str">
        <f t="shared" si="8"/>
        <v>Belum</v>
      </c>
      <c r="L45" s="1">
        <f t="shared" si="9"/>
        <v>129.28176795580109</v>
      </c>
      <c r="M45" s="48" t="str">
        <f t="shared" si="10"/>
        <v>Tarik</v>
      </c>
      <c r="N45" s="3">
        <f t="shared" si="11"/>
        <v>-181.95549229896417</v>
      </c>
      <c r="O45" s="59"/>
      <c r="P45" s="48"/>
      <c r="Q45" s="1"/>
      <c r="R45" s="48"/>
      <c r="S45" s="3"/>
      <c r="T45" s="3">
        <f t="shared" si="14"/>
        <v>3998.3942182146116</v>
      </c>
      <c r="U45" s="60">
        <f t="shared" si="15"/>
        <v>422.33433658135385</v>
      </c>
      <c r="V45" s="1">
        <f t="shared" si="16"/>
        <v>0.65</v>
      </c>
      <c r="W45" s="3">
        <f t="shared" si="12"/>
        <v>2598.9562418394976</v>
      </c>
      <c r="X45" s="3">
        <f t="shared" si="17"/>
        <v>274.51731877788001</v>
      </c>
    </row>
    <row r="46" spans="1:24" x14ac:dyDescent="0.25">
      <c r="A46" s="1">
        <v>10</v>
      </c>
      <c r="B46" s="3">
        <f t="shared" si="13"/>
        <v>186.30303030303031</v>
      </c>
      <c r="C46" s="3">
        <f t="shared" si="0"/>
        <v>158.35757575757577</v>
      </c>
      <c r="D46" s="1">
        <f t="shared" si="1"/>
        <v>3133.5797090909095</v>
      </c>
      <c r="E46" s="59">
        <f t="shared" si="2"/>
        <v>2.0177293428757324E-3</v>
      </c>
      <c r="F46" s="48" t="str">
        <f t="shared" si="3"/>
        <v>Sudah</v>
      </c>
      <c r="G46" s="1">
        <f t="shared" si="4"/>
        <v>390</v>
      </c>
      <c r="H46" s="48" t="str">
        <f t="shared" si="5"/>
        <v>Tekan</v>
      </c>
      <c r="I46" s="3">
        <f t="shared" si="6"/>
        <v>969.90861233175735</v>
      </c>
      <c r="J46" s="59">
        <f t="shared" si="7"/>
        <v>7.3584905660377343E-4</v>
      </c>
      <c r="K46" s="48" t="str">
        <f t="shared" si="8"/>
        <v>Belum</v>
      </c>
      <c r="L46" s="1">
        <f t="shared" si="9"/>
        <v>147.16981132075469</v>
      </c>
      <c r="M46" s="48" t="str">
        <f t="shared" si="10"/>
        <v>Tarik</v>
      </c>
      <c r="N46" s="3">
        <f t="shared" si="11"/>
        <v>-207.13172393781457</v>
      </c>
      <c r="O46" s="59"/>
      <c r="P46" s="48"/>
      <c r="Q46" s="1"/>
      <c r="R46" s="48"/>
      <c r="S46" s="3"/>
      <c r="T46" s="3">
        <f t="shared" si="14"/>
        <v>3896.356597484852</v>
      </c>
      <c r="U46" s="60">
        <f t="shared" si="15"/>
        <v>422.63949607380192</v>
      </c>
      <c r="V46" s="1">
        <f t="shared" si="16"/>
        <v>0.65</v>
      </c>
      <c r="W46" s="3">
        <f t="shared" si="12"/>
        <v>2532.6317883651541</v>
      </c>
      <c r="X46" s="3">
        <f t="shared" si="17"/>
        <v>274.71567244797126</v>
      </c>
    </row>
    <row r="47" spans="1:24" x14ac:dyDescent="0.25">
      <c r="A47" s="1">
        <v>9</v>
      </c>
      <c r="B47" s="3">
        <f t="shared" si="13"/>
        <v>181.73333333333335</v>
      </c>
      <c r="C47" s="3">
        <f t="shared" si="0"/>
        <v>154.47333333333333</v>
      </c>
      <c r="D47" s="1">
        <f t="shared" si="1"/>
        <v>3056.7183199999999</v>
      </c>
      <c r="E47" s="59">
        <f t="shared" si="2"/>
        <v>1.9930300807043289E-3</v>
      </c>
      <c r="F47" s="48" t="str">
        <f t="shared" si="3"/>
        <v>Sudah</v>
      </c>
      <c r="G47" s="1">
        <f t="shared" si="4"/>
        <v>390</v>
      </c>
      <c r="H47" s="48" t="str">
        <f t="shared" si="5"/>
        <v>Tekan</v>
      </c>
      <c r="I47" s="3">
        <f t="shared" si="6"/>
        <v>969.90861233175735</v>
      </c>
      <c r="J47" s="59">
        <f t="shared" si="7"/>
        <v>8.2978723404255293E-4</v>
      </c>
      <c r="K47" s="48" t="str">
        <f t="shared" si="8"/>
        <v>Belum</v>
      </c>
      <c r="L47" s="1">
        <f t="shared" si="9"/>
        <v>165.95744680851058</v>
      </c>
      <c r="M47" s="48" t="str">
        <f t="shared" si="10"/>
        <v>Tarik</v>
      </c>
      <c r="N47" s="3">
        <f t="shared" si="11"/>
        <v>-233.57407167455679</v>
      </c>
      <c r="O47" s="59"/>
      <c r="P47" s="48"/>
      <c r="Q47" s="1"/>
      <c r="R47" s="48"/>
      <c r="S47" s="3"/>
      <c r="T47" s="3">
        <f t="shared" si="14"/>
        <v>3793.0528606572007</v>
      </c>
      <c r="U47" s="60">
        <f t="shared" si="15"/>
        <v>422.71827591553676</v>
      </c>
      <c r="V47" s="1">
        <f t="shared" si="16"/>
        <v>0.65</v>
      </c>
      <c r="W47" s="3">
        <f t="shared" si="12"/>
        <v>2465.4843594271806</v>
      </c>
      <c r="X47" s="3">
        <f t="shared" si="17"/>
        <v>274.76687934509891</v>
      </c>
    </row>
    <row r="48" spans="1:24" x14ac:dyDescent="0.25">
      <c r="A48" s="1">
        <v>8</v>
      </c>
      <c r="B48" s="3">
        <f t="shared" si="13"/>
        <v>177.16363636363639</v>
      </c>
      <c r="C48" s="3">
        <f t="shared" si="0"/>
        <v>150.58909090909091</v>
      </c>
      <c r="D48" s="1">
        <f t="shared" si="1"/>
        <v>2979.8569309090908</v>
      </c>
      <c r="E48" s="59">
        <f t="shared" si="2"/>
        <v>1.9670566502463056E-3</v>
      </c>
      <c r="F48" s="48" t="str">
        <f t="shared" si="3"/>
        <v>Sudah</v>
      </c>
      <c r="G48" s="1">
        <f t="shared" si="4"/>
        <v>390</v>
      </c>
      <c r="H48" s="48" t="str">
        <f t="shared" si="5"/>
        <v>Tekan</v>
      </c>
      <c r="I48" s="3">
        <f t="shared" si="6"/>
        <v>969.90861233175735</v>
      </c>
      <c r="J48" s="59">
        <f t="shared" si="7"/>
        <v>9.2857142857142813E-4</v>
      </c>
      <c r="K48" s="48" t="str">
        <f t="shared" si="8"/>
        <v>Belum</v>
      </c>
      <c r="L48" s="1">
        <f t="shared" si="9"/>
        <v>185.71428571428564</v>
      </c>
      <c r="M48" s="48" t="str">
        <f t="shared" si="10"/>
        <v>Tarik</v>
      </c>
      <c r="N48" s="3">
        <f t="shared" si="11"/>
        <v>-261.38050877867067</v>
      </c>
      <c r="O48" s="59"/>
      <c r="P48" s="48"/>
      <c r="Q48" s="1"/>
      <c r="R48" s="48"/>
      <c r="S48" s="3"/>
      <c r="T48" s="3">
        <f t="shared" si="14"/>
        <v>3688.3850344621778</v>
      </c>
      <c r="U48" s="60">
        <f t="shared" si="15"/>
        <v>422.57626058291856</v>
      </c>
      <c r="V48" s="1">
        <f t="shared" si="16"/>
        <v>0.65</v>
      </c>
      <c r="W48" s="3">
        <f t="shared" si="12"/>
        <v>2397.4502724004155</v>
      </c>
      <c r="X48" s="3">
        <f t="shared" si="17"/>
        <v>274.6745693788971</v>
      </c>
    </row>
    <row r="49" spans="1:24" x14ac:dyDescent="0.25">
      <c r="A49" s="1">
        <v>7</v>
      </c>
      <c r="B49" s="3">
        <f t="shared" si="13"/>
        <v>172.59393939393939</v>
      </c>
      <c r="C49" s="3">
        <f t="shared" si="0"/>
        <v>146.70484848484847</v>
      </c>
      <c r="D49" s="1">
        <f t="shared" si="1"/>
        <v>2902.9955418181817</v>
      </c>
      <c r="E49" s="59">
        <f t="shared" si="2"/>
        <v>1.9397078446520123E-3</v>
      </c>
      <c r="F49" s="48" t="str">
        <f t="shared" si="3"/>
        <v>Belum</v>
      </c>
      <c r="G49" s="1">
        <f t="shared" si="4"/>
        <v>387.94156893040247</v>
      </c>
      <c r="H49" s="48" t="str">
        <f t="shared" si="5"/>
        <v>Tekan</v>
      </c>
      <c r="I49" s="3">
        <f t="shared" si="6"/>
        <v>964.43127345029257</v>
      </c>
      <c r="J49" s="59">
        <f t="shared" si="7"/>
        <v>1.0325865580448066E-3</v>
      </c>
      <c r="K49" s="48" t="str">
        <f t="shared" si="8"/>
        <v>Belum</v>
      </c>
      <c r="L49" s="1">
        <f t="shared" si="9"/>
        <v>206.51731160896131</v>
      </c>
      <c r="M49" s="48" t="str">
        <f t="shared" si="10"/>
        <v>Tarik</v>
      </c>
      <c r="N49" s="3">
        <f t="shared" si="11"/>
        <v>-290.6593845074425</v>
      </c>
      <c r="O49" s="59"/>
      <c r="P49" s="48"/>
      <c r="Q49" s="1"/>
      <c r="R49" s="48"/>
      <c r="S49" s="3"/>
      <c r="T49" s="3">
        <f t="shared" si="14"/>
        <v>3576.7674307610318</v>
      </c>
      <c r="U49" s="60">
        <f t="shared" si="15"/>
        <v>421.5952093511259</v>
      </c>
      <c r="V49" s="1">
        <f t="shared" si="16"/>
        <v>0.65</v>
      </c>
      <c r="W49" s="3">
        <f t="shared" si="12"/>
        <v>2324.8988299946709</v>
      </c>
      <c r="X49" s="3">
        <f t="shared" si="17"/>
        <v>274.03688607823187</v>
      </c>
    </row>
    <row r="50" spans="1:24" x14ac:dyDescent="0.25">
      <c r="A50" s="1">
        <v>6</v>
      </c>
      <c r="B50" s="3">
        <f t="shared" si="13"/>
        <v>168.02424242424243</v>
      </c>
      <c r="C50" s="3">
        <f t="shared" si="0"/>
        <v>142.82060606060605</v>
      </c>
      <c r="D50" s="1">
        <f t="shared" si="1"/>
        <v>2826.1341527272725</v>
      </c>
      <c r="E50" s="59">
        <f t="shared" si="2"/>
        <v>1.9108714471216275E-3</v>
      </c>
      <c r="F50" s="48" t="str">
        <f t="shared" si="3"/>
        <v>Belum</v>
      </c>
      <c r="G50" s="1">
        <f t="shared" si="4"/>
        <v>382.17428942432548</v>
      </c>
      <c r="H50" s="48" t="str">
        <f t="shared" si="5"/>
        <v>Tekan</v>
      </c>
      <c r="I50" s="3">
        <f t="shared" si="6"/>
        <v>949.08495229070809</v>
      </c>
      <c r="J50" s="59">
        <f t="shared" si="7"/>
        <v>1.1422594142259412E-3</v>
      </c>
      <c r="K50" s="48" t="str">
        <f t="shared" si="8"/>
        <v>Belum</v>
      </c>
      <c r="L50" s="1">
        <f t="shared" si="9"/>
        <v>228.45188284518824</v>
      </c>
      <c r="M50" s="48" t="str">
        <f t="shared" si="10"/>
        <v>Tarik</v>
      </c>
      <c r="N50" s="3">
        <f t="shared" si="11"/>
        <v>-321.53083506664939</v>
      </c>
      <c r="O50" s="59"/>
      <c r="P50" s="48"/>
      <c r="Q50" s="1"/>
      <c r="R50" s="48"/>
      <c r="S50" s="3"/>
      <c r="T50" s="3">
        <f t="shared" si="14"/>
        <v>3453.6882699513317</v>
      </c>
      <c r="U50" s="60">
        <f t="shared" si="15"/>
        <v>419.28132263666919</v>
      </c>
      <c r="V50" s="1">
        <f t="shared" si="16"/>
        <v>0.65</v>
      </c>
      <c r="W50" s="3">
        <f t="shared" si="12"/>
        <v>2244.8973754683657</v>
      </c>
      <c r="X50" s="3">
        <f t="shared" si="17"/>
        <v>272.53285971383497</v>
      </c>
    </row>
    <row r="51" spans="1:24" x14ac:dyDescent="0.25">
      <c r="A51" s="1">
        <v>5</v>
      </c>
      <c r="B51" s="3">
        <f t="shared" si="13"/>
        <v>163.45454545454547</v>
      </c>
      <c r="C51" s="3">
        <f t="shared" si="0"/>
        <v>138.93636363636364</v>
      </c>
      <c r="D51" s="1">
        <f t="shared" si="1"/>
        <v>2749.2727636363638</v>
      </c>
      <c r="E51" s="59">
        <f t="shared" si="2"/>
        <v>1.8804226918798666E-3</v>
      </c>
      <c r="F51" s="48" t="str">
        <f t="shared" si="3"/>
        <v>Belum</v>
      </c>
      <c r="G51" s="1">
        <f t="shared" si="4"/>
        <v>376.08453837597335</v>
      </c>
      <c r="H51" s="48" t="str">
        <f t="shared" si="5"/>
        <v>Tekan</v>
      </c>
      <c r="I51" s="3">
        <f t="shared" si="6"/>
        <v>932.88055725983543</v>
      </c>
      <c r="J51" s="59">
        <f t="shared" si="7"/>
        <v>1.258064516129032E-3</v>
      </c>
      <c r="K51" s="48" t="str">
        <f t="shared" si="8"/>
        <v>Belum</v>
      </c>
      <c r="L51" s="1">
        <f t="shared" si="9"/>
        <v>251.61290322580641</v>
      </c>
      <c r="M51" s="48" t="str">
        <f t="shared" si="10"/>
        <v>Tarik</v>
      </c>
      <c r="N51" s="3">
        <f t="shared" si="11"/>
        <v>-354.12843124852168</v>
      </c>
      <c r="O51" s="59"/>
      <c r="P51" s="48"/>
      <c r="Q51" s="1"/>
      <c r="R51" s="48"/>
      <c r="S51" s="3"/>
      <c r="T51" s="3">
        <f t="shared" si="14"/>
        <v>3328.0248896476774</v>
      </c>
      <c r="U51" s="60">
        <f t="shared" si="15"/>
        <v>416.66945753308448</v>
      </c>
      <c r="V51" s="1">
        <f t="shared" si="16"/>
        <v>0.65</v>
      </c>
      <c r="W51" s="3">
        <f t="shared" si="12"/>
        <v>2163.2161782709904</v>
      </c>
      <c r="X51" s="3">
        <f t="shared" si="17"/>
        <v>270.83514739650491</v>
      </c>
    </row>
    <row r="52" spans="1:24" x14ac:dyDescent="0.25">
      <c r="A52" s="1">
        <v>4</v>
      </c>
      <c r="B52" s="3">
        <f t="shared" si="13"/>
        <v>158.8848484848485</v>
      </c>
      <c r="C52" s="3">
        <f t="shared" si="0"/>
        <v>135.05212121212122</v>
      </c>
      <c r="D52" s="1">
        <f t="shared" si="1"/>
        <v>2672.4113745454547</v>
      </c>
      <c r="E52" s="59">
        <f t="shared" si="2"/>
        <v>1.8482224595666771E-3</v>
      </c>
      <c r="F52" s="48" t="str">
        <f t="shared" si="3"/>
        <v>Belum</v>
      </c>
      <c r="G52" s="1">
        <f t="shared" si="4"/>
        <v>369.6444919133354</v>
      </c>
      <c r="H52" s="48" t="str">
        <f t="shared" si="5"/>
        <v>Tekan</v>
      </c>
      <c r="I52" s="3">
        <f t="shared" si="6"/>
        <v>915.74405101037257</v>
      </c>
      <c r="J52" s="59">
        <f t="shared" si="7"/>
        <v>1.380530973451327E-3</v>
      </c>
      <c r="K52" s="48" t="str">
        <f t="shared" si="8"/>
        <v>Belum</v>
      </c>
      <c r="L52" s="1">
        <f t="shared" si="9"/>
        <v>276.1061946902654</v>
      </c>
      <c r="M52" s="48" t="str">
        <f t="shared" si="10"/>
        <v>Tarik</v>
      </c>
      <c r="N52" s="3">
        <f t="shared" si="11"/>
        <v>-388.60111039660779</v>
      </c>
      <c r="O52" s="59"/>
      <c r="P52" s="48"/>
      <c r="Q52" s="1"/>
      <c r="R52" s="48"/>
      <c r="S52" s="3"/>
      <c r="T52" s="3">
        <f t="shared" si="14"/>
        <v>3199.5543151592192</v>
      </c>
      <c r="U52" s="60">
        <f t="shared" si="15"/>
        <v>413.75966321136156</v>
      </c>
      <c r="V52" s="1">
        <f t="shared" si="16"/>
        <v>0.65</v>
      </c>
      <c r="W52" s="3">
        <f t="shared" si="12"/>
        <v>2079.7103048534927</v>
      </c>
      <c r="X52" s="3">
        <f t="shared" si="17"/>
        <v>268.94378108738505</v>
      </c>
    </row>
    <row r="53" spans="1:24" x14ac:dyDescent="0.25">
      <c r="A53" s="1">
        <v>3</v>
      </c>
      <c r="B53" s="3">
        <f t="shared" si="13"/>
        <v>154.31515151515154</v>
      </c>
      <c r="C53" s="3">
        <f t="shared" si="0"/>
        <v>131.16787878787881</v>
      </c>
      <c r="D53" s="1">
        <f t="shared" si="1"/>
        <v>2595.549985454546</v>
      </c>
      <c r="E53" s="59">
        <f t="shared" si="2"/>
        <v>1.8141151519912029E-3</v>
      </c>
      <c r="F53" s="48" t="str">
        <f t="shared" si="3"/>
        <v>Belum</v>
      </c>
      <c r="G53" s="1">
        <f t="shared" si="4"/>
        <v>362.82303039824058</v>
      </c>
      <c r="H53" s="48" t="str">
        <f t="shared" si="5"/>
        <v>Tekan</v>
      </c>
      <c r="I53" s="3">
        <f t="shared" si="6"/>
        <v>897.59262639533802</v>
      </c>
      <c r="J53" s="59">
        <f t="shared" si="7"/>
        <v>1.5102505694760812E-3</v>
      </c>
      <c r="K53" s="48" t="str">
        <f t="shared" si="8"/>
        <v>Belum</v>
      </c>
      <c r="L53" s="1">
        <f t="shared" si="9"/>
        <v>302.05011389521621</v>
      </c>
      <c r="M53" s="48" t="str">
        <f t="shared" si="10"/>
        <v>Tarik</v>
      </c>
      <c r="N53" s="3">
        <f t="shared" si="11"/>
        <v>-425.11545163546884</v>
      </c>
      <c r="O53" s="59"/>
      <c r="P53" s="48"/>
      <c r="Q53" s="1"/>
      <c r="R53" s="48"/>
      <c r="S53" s="3"/>
      <c r="T53" s="3">
        <f t="shared" si="14"/>
        <v>3068.0271602144148</v>
      </c>
      <c r="U53" s="60">
        <f t="shared" si="15"/>
        <v>410.55199466684462</v>
      </c>
      <c r="V53" s="1">
        <f t="shared" si="16"/>
        <v>0.65</v>
      </c>
      <c r="W53" s="3">
        <f t="shared" si="12"/>
        <v>1994.2176541393696</v>
      </c>
      <c r="X53" s="3">
        <f t="shared" si="17"/>
        <v>266.85879653344904</v>
      </c>
    </row>
    <row r="54" spans="1:24" x14ac:dyDescent="0.25">
      <c r="A54" s="1">
        <v>2</v>
      </c>
      <c r="B54" s="3">
        <f t="shared" si="13"/>
        <v>149.74545454545455</v>
      </c>
      <c r="C54" s="3">
        <f t="shared" si="0"/>
        <v>127.28363636363636</v>
      </c>
      <c r="D54" s="1">
        <f t="shared" si="1"/>
        <v>2518.6885963636364</v>
      </c>
      <c r="E54" s="59">
        <f t="shared" si="2"/>
        <v>1.7779261777561926E-3</v>
      </c>
      <c r="F54" s="48" t="str">
        <f t="shared" si="3"/>
        <v>Belum</v>
      </c>
      <c r="G54" s="1">
        <f t="shared" si="4"/>
        <v>355.5852355512385</v>
      </c>
      <c r="H54" s="48" t="str">
        <f t="shared" si="5"/>
        <v>Tekan</v>
      </c>
      <c r="I54" s="3">
        <f t="shared" si="6"/>
        <v>878.33336835309456</v>
      </c>
      <c r="J54" s="59">
        <f t="shared" si="7"/>
        <v>1.6478873239436618E-3</v>
      </c>
      <c r="K54" s="48" t="str">
        <f t="shared" si="8"/>
        <v>Belum</v>
      </c>
      <c r="L54" s="1">
        <f t="shared" si="9"/>
        <v>329.57746478873236</v>
      </c>
      <c r="M54" s="48" t="str">
        <f t="shared" si="10"/>
        <v>Tarik</v>
      </c>
      <c r="N54" s="3">
        <f t="shared" si="11"/>
        <v>-463.85836769172556</v>
      </c>
      <c r="O54" s="59"/>
      <c r="P54" s="48"/>
      <c r="Q54" s="1"/>
      <c r="R54" s="48"/>
      <c r="S54" s="3"/>
      <c r="T54" s="3">
        <f t="shared" si="14"/>
        <v>2933.1635970250054</v>
      </c>
      <c r="U54" s="60">
        <f t="shared" si="15"/>
        <v>407.04651360792411</v>
      </c>
      <c r="V54" s="1">
        <f t="shared" si="16"/>
        <v>0.65</v>
      </c>
      <c r="W54" s="3">
        <f t="shared" si="12"/>
        <v>1906.5563380662536</v>
      </c>
      <c r="X54" s="3">
        <f t="shared" si="17"/>
        <v>264.5802338451507</v>
      </c>
    </row>
    <row r="55" spans="1:24" x14ac:dyDescent="0.25">
      <c r="A55" s="1">
        <v>1</v>
      </c>
      <c r="B55" s="3">
        <f t="shared" si="13"/>
        <v>145.17575757575759</v>
      </c>
      <c r="C55" s="3">
        <f>$G$20*B55</f>
        <v>123.39939393939395</v>
      </c>
      <c r="D55" s="1">
        <f>0.85*$G$5*C55*$G$8/1000</f>
        <v>2441.8272072727277</v>
      </c>
      <c r="E55" s="59">
        <f t="shared" si="2"/>
        <v>1.7394589630124406E-3</v>
      </c>
      <c r="F55" s="48" t="str">
        <f>IF(E55&lt;$G$6/$G$7,"Belum","Sudah")</f>
        <v>Belum</v>
      </c>
      <c r="G55" s="1">
        <f>IF(F55="Sudah",$G$6,E55*$G$7)</f>
        <v>347.89179260248812</v>
      </c>
      <c r="H55" s="48" t="str">
        <f t="shared" si="5"/>
        <v>Tekan</v>
      </c>
      <c r="I55" s="3">
        <f>$L$13*(G55-$G$20*$G$5)/1000*IF(H55="Tarik",-1,1)</f>
        <v>857.86166307332496</v>
      </c>
      <c r="J55" s="59">
        <f t="shared" si="7"/>
        <v>1.7941888619854719E-3</v>
      </c>
      <c r="K55" s="48" t="str">
        <f>IF(J55&lt;$G$6/$G$7,"Belum","Sudah")</f>
        <v>Belum</v>
      </c>
      <c r="L55" s="1">
        <f>IF(K55="Sudah",$G$6,J55*$G$7)</f>
        <v>358.8377723970944</v>
      </c>
      <c r="M55" s="48" t="str">
        <f t="shared" si="10"/>
        <v>Tarik</v>
      </c>
      <c r="N55" s="3">
        <f>$L$14*L55/1000*IF(M55="Tarik",-1,1)</f>
        <v>-505.04030509777067</v>
      </c>
      <c r="O55" s="59"/>
      <c r="P55" s="48"/>
      <c r="Q55" s="1"/>
      <c r="R55" s="48"/>
      <c r="S55" s="3"/>
      <c r="T55" s="3">
        <f t="shared" si="14"/>
        <v>2794.648565248282</v>
      </c>
      <c r="U55" s="60">
        <f t="shared" si="15"/>
        <v>403.24328951257053</v>
      </c>
      <c r="V55" s="1">
        <f t="shared" si="16"/>
        <v>0.65</v>
      </c>
      <c r="W55" s="3">
        <f t="shared" si="12"/>
        <v>1816.5215674113833</v>
      </c>
      <c r="X55" s="3">
        <f t="shared" si="17"/>
        <v>262.10813818317087</v>
      </c>
    </row>
    <row r="56" spans="1:24" x14ac:dyDescent="0.25">
      <c r="A56" s="80" t="s">
        <v>211</v>
      </c>
      <c r="B56" s="3">
        <f>(600/(600+$G$6))*$L$20</f>
        <v>140.60606060606062</v>
      </c>
      <c r="C56" s="3">
        <f>$G$20*B56</f>
        <v>119.51515151515153</v>
      </c>
      <c r="D56" s="1">
        <f>0.85*$G$5*C56*$G$8/1000</f>
        <v>2364.9658181818186</v>
      </c>
      <c r="E56" s="59">
        <f t="shared" si="2"/>
        <v>1.698491379310345E-3</v>
      </c>
      <c r="F56" s="48" t="str">
        <f>IF(E56&lt;$G$6/$G$7,"Belum","Sudah")</f>
        <v>Belum</v>
      </c>
      <c r="G56" s="1">
        <f>IF(F56="Sudah",$G$6,E56*$G$7)</f>
        <v>339.69827586206901</v>
      </c>
      <c r="H56" s="48" t="str">
        <f t="shared" si="5"/>
        <v>Tekan</v>
      </c>
      <c r="I56" s="3">
        <f>$L$13*(G56-$G$20*$G$5)/1000*IF(H56="Tarik",-1,1)</f>
        <v>836.05929695037037</v>
      </c>
      <c r="J56" s="61">
        <f t="shared" si="7"/>
        <v>1.9499999999999995E-3</v>
      </c>
      <c r="K56" s="48" t="str">
        <f>IF(J56&lt;$G$6/$G$7,"Belum","Sudah")</f>
        <v>Sudah</v>
      </c>
      <c r="L56" s="1">
        <f>IF(K56="Sudah",$G$6,J56*$G$7)</f>
        <v>390</v>
      </c>
      <c r="M56" s="48" t="str">
        <f t="shared" si="10"/>
        <v>Tarik</v>
      </c>
      <c r="N56" s="3">
        <f>$L$14*L56/1000*IF(M56="Tarik",-1,1)</f>
        <v>-548.89906843520862</v>
      </c>
      <c r="O56" s="59"/>
      <c r="P56" s="48"/>
      <c r="Q56" s="1"/>
      <c r="R56" s="48"/>
      <c r="S56" s="3"/>
      <c r="T56" s="3">
        <f t="shared" si="14"/>
        <v>2652.1260466969807</v>
      </c>
      <c r="U56" s="60">
        <f t="shared" si="15"/>
        <v>399.14240089089014</v>
      </c>
      <c r="V56" s="1">
        <f t="shared" si="16"/>
        <v>0.65</v>
      </c>
      <c r="W56" s="3">
        <f t="shared" si="12"/>
        <v>1723.8819303530374</v>
      </c>
      <c r="X56" s="3">
        <f t="shared" si="17"/>
        <v>259.44256057907859</v>
      </c>
    </row>
    <row r="57" spans="1:24" x14ac:dyDescent="0.25">
      <c r="A57" s="1">
        <v>-1</v>
      </c>
      <c r="B57" s="3">
        <f>$B$56+(A57/20*($B$56))</f>
        <v>133.57575757575759</v>
      </c>
      <c r="C57" s="3">
        <f t="shared" ref="C57:C66" si="18">$G$20*B57</f>
        <v>113.53939393939395</v>
      </c>
      <c r="D57" s="1">
        <f t="shared" ref="D57:D66" si="19">0.85*$G$5*C57*$G$8/1000</f>
        <v>2246.7175272727272</v>
      </c>
      <c r="E57" s="59">
        <f t="shared" si="2"/>
        <v>1.6299909255898368E-3</v>
      </c>
      <c r="F57" s="48" t="str">
        <f t="shared" ref="F57:F66" si="20">IF(E57&lt;$G$6/$G$7,"Belum","Sudah")</f>
        <v>Belum</v>
      </c>
      <c r="G57" s="1">
        <f t="shared" ref="G57:G66" si="21">IF(F57="Sudah",$G$6,E57*$G$7)</f>
        <v>325.99818511796735</v>
      </c>
      <c r="H57" s="48" t="str">
        <f t="shared" si="5"/>
        <v>Tekan</v>
      </c>
      <c r="I57" s="3">
        <f t="shared" ref="I57:I66" si="22">$L$13*(G57-$G$20*$G$5)/1000*IF(H57="Tarik",-1,1)</f>
        <v>799.60432849377025</v>
      </c>
      <c r="J57" s="61">
        <f t="shared" si="7"/>
        <v>2.2105263157894731E-3</v>
      </c>
      <c r="K57" s="48" t="str">
        <f t="shared" ref="K57:K66" si="23">IF(J57&lt;$G$6/$G$7,"Belum","Sudah")</f>
        <v>Sudah</v>
      </c>
      <c r="L57" s="1">
        <f t="shared" ref="L57:L66" si="24">IF(K57="Sudah",$G$6,J57*$G$7)</f>
        <v>390</v>
      </c>
      <c r="M57" s="48" t="str">
        <f t="shared" si="10"/>
        <v>Tarik</v>
      </c>
      <c r="N57" s="3">
        <f t="shared" ref="N57:N66" si="25">$L$14*L57/1000*IF(M57="Tarik",-1,1)</f>
        <v>-548.89906843520862</v>
      </c>
      <c r="O57" s="59"/>
      <c r="P57" s="48"/>
      <c r="Q57" s="1"/>
      <c r="R57" s="48"/>
      <c r="S57" s="3"/>
      <c r="T57" s="3">
        <f t="shared" si="14"/>
        <v>2497.4227873312893</v>
      </c>
      <c r="U57" s="60">
        <f t="shared" si="15"/>
        <v>388.07223442204435</v>
      </c>
      <c r="V57" s="1">
        <f t="shared" si="16"/>
        <v>0.66754385964912277</v>
      </c>
      <c r="W57" s="3">
        <f t="shared" si="12"/>
        <v>1667.1392466307991</v>
      </c>
      <c r="X57" s="3">
        <f t="shared" si="17"/>
        <v>259.05523718875065</v>
      </c>
    </row>
    <row r="58" spans="1:24" x14ac:dyDescent="0.25">
      <c r="A58" s="1">
        <v>-2</v>
      </c>
      <c r="B58" s="3">
        <f t="shared" ref="B58:B72" si="26">$B$56+(A58/20*($B$56))</f>
        <v>126.54545454545456</v>
      </c>
      <c r="C58" s="3">
        <f t="shared" si="18"/>
        <v>107.56363636363638</v>
      </c>
      <c r="D58" s="1">
        <f t="shared" si="19"/>
        <v>2128.4692363636364</v>
      </c>
      <c r="E58" s="59">
        <f t="shared" si="2"/>
        <v>1.5538793103448277E-3</v>
      </c>
      <c r="F58" s="48" t="str">
        <f t="shared" si="20"/>
        <v>Belum</v>
      </c>
      <c r="G58" s="1">
        <f t="shared" si="21"/>
        <v>310.77586206896552</v>
      </c>
      <c r="H58" s="48" t="str">
        <f t="shared" si="5"/>
        <v>Tekan</v>
      </c>
      <c r="I58" s="3">
        <f t="shared" si="22"/>
        <v>759.09880798643667</v>
      </c>
      <c r="J58" s="61">
        <f t="shared" si="7"/>
        <v>2.4999999999999996E-3</v>
      </c>
      <c r="K58" s="48" t="str">
        <f t="shared" si="23"/>
        <v>Sudah</v>
      </c>
      <c r="L58" s="1">
        <f t="shared" si="24"/>
        <v>390</v>
      </c>
      <c r="M58" s="48" t="str">
        <f t="shared" si="10"/>
        <v>Tarik</v>
      </c>
      <c r="N58" s="3">
        <f t="shared" si="25"/>
        <v>-548.89906843520862</v>
      </c>
      <c r="O58" s="59"/>
      <c r="P58" s="48"/>
      <c r="Q58" s="1"/>
      <c r="R58" s="48"/>
      <c r="S58" s="3"/>
      <c r="T58" s="3">
        <f t="shared" si="14"/>
        <v>2338.6689759148649</v>
      </c>
      <c r="U58" s="60">
        <f t="shared" si="15"/>
        <v>375.83368189919463</v>
      </c>
      <c r="V58" s="1">
        <f t="shared" si="16"/>
        <v>0.69166666666666665</v>
      </c>
      <c r="W58" s="3">
        <f t="shared" si="12"/>
        <v>1617.5793750077814</v>
      </c>
      <c r="X58" s="3">
        <f t="shared" si="17"/>
        <v>259.95162998027627</v>
      </c>
    </row>
    <row r="59" spans="1:24" x14ac:dyDescent="0.25">
      <c r="A59" s="1">
        <v>-3</v>
      </c>
      <c r="B59" s="3">
        <f t="shared" si="26"/>
        <v>119.51515151515153</v>
      </c>
      <c r="C59" s="3">
        <f t="shared" si="18"/>
        <v>101.58787878787879</v>
      </c>
      <c r="D59" s="1">
        <f t="shared" si="19"/>
        <v>2010.2209454545455</v>
      </c>
      <c r="E59" s="59">
        <f t="shared" si="2"/>
        <v>1.4688133874239354E-3</v>
      </c>
      <c r="F59" s="48" t="str">
        <f t="shared" si="20"/>
        <v>Belum</v>
      </c>
      <c r="G59" s="1">
        <f t="shared" si="21"/>
        <v>293.7626774847871</v>
      </c>
      <c r="H59" s="48" t="str">
        <f t="shared" si="5"/>
        <v>Tekan</v>
      </c>
      <c r="I59" s="3">
        <f t="shared" si="22"/>
        <v>713.8279321252993</v>
      </c>
      <c r="J59" s="61">
        <f t="shared" si="7"/>
        <v>2.8235294117647052E-3</v>
      </c>
      <c r="K59" s="48" t="str">
        <f t="shared" si="23"/>
        <v>Sudah</v>
      </c>
      <c r="L59" s="1">
        <f t="shared" si="24"/>
        <v>390</v>
      </c>
      <c r="M59" s="48" t="str">
        <f t="shared" si="10"/>
        <v>Tarik</v>
      </c>
      <c r="N59" s="3">
        <f t="shared" si="25"/>
        <v>-548.89906843520862</v>
      </c>
      <c r="O59" s="59"/>
      <c r="P59" s="48"/>
      <c r="Q59" s="1"/>
      <c r="R59" s="48"/>
      <c r="S59" s="3"/>
      <c r="T59" s="3">
        <f t="shared" si="14"/>
        <v>2175.1498091446365</v>
      </c>
      <c r="U59" s="60">
        <f t="shared" si="15"/>
        <v>362.34525574579078</v>
      </c>
      <c r="V59" s="1">
        <f t="shared" si="16"/>
        <v>0.71862745098039216</v>
      </c>
      <c r="W59" s="3">
        <f t="shared" si="12"/>
        <v>1563.1223628460966</v>
      </c>
      <c r="X59" s="3">
        <f t="shared" si="17"/>
        <v>260.39124751143595</v>
      </c>
    </row>
    <row r="60" spans="1:24" x14ac:dyDescent="0.25">
      <c r="A60" s="1">
        <v>-4</v>
      </c>
      <c r="B60" s="3">
        <f t="shared" si="26"/>
        <v>112.4848484848485</v>
      </c>
      <c r="C60" s="3">
        <f t="shared" si="18"/>
        <v>95.612121212121224</v>
      </c>
      <c r="D60" s="1">
        <f t="shared" si="19"/>
        <v>1891.9726545454548</v>
      </c>
      <c r="E60" s="59">
        <f t="shared" si="2"/>
        <v>1.3731142241379312E-3</v>
      </c>
      <c r="F60" s="48" t="str">
        <f t="shared" si="20"/>
        <v>Belum</v>
      </c>
      <c r="G60" s="1">
        <f t="shared" si="21"/>
        <v>274.62284482758622</v>
      </c>
      <c r="H60" s="48" t="str">
        <f t="shared" si="5"/>
        <v>Tekan</v>
      </c>
      <c r="I60" s="3">
        <f t="shared" si="22"/>
        <v>662.89819678151946</v>
      </c>
      <c r="J60" s="61">
        <f t="shared" si="7"/>
        <v>3.1874999999999994E-3</v>
      </c>
      <c r="K60" s="48" t="str">
        <f t="shared" si="23"/>
        <v>Sudah</v>
      </c>
      <c r="L60" s="1">
        <f t="shared" si="24"/>
        <v>390</v>
      </c>
      <c r="M60" s="48" t="str">
        <f t="shared" si="10"/>
        <v>Tarik</v>
      </c>
      <c r="N60" s="3">
        <f t="shared" si="25"/>
        <v>-548.89906843520862</v>
      </c>
      <c r="O60" s="59"/>
      <c r="P60" s="48"/>
      <c r="Q60" s="1"/>
      <c r="R60" s="48"/>
      <c r="S60" s="3"/>
      <c r="T60" s="3">
        <f t="shared" si="14"/>
        <v>2005.9717828917658</v>
      </c>
      <c r="U60" s="60">
        <f t="shared" si="15"/>
        <v>347.50509649114531</v>
      </c>
      <c r="V60" s="1">
        <f t="shared" si="16"/>
        <v>0.74895833333333328</v>
      </c>
      <c r="W60" s="3">
        <f t="shared" si="12"/>
        <v>1502.389283228312</v>
      </c>
      <c r="X60" s="3">
        <f t="shared" si="17"/>
        <v>260.26683789284738</v>
      </c>
    </row>
    <row r="61" spans="1:24" x14ac:dyDescent="0.25">
      <c r="A61" s="1">
        <v>-5</v>
      </c>
      <c r="B61" s="3">
        <f t="shared" si="26"/>
        <v>105.45454545454547</v>
      </c>
      <c r="C61" s="3">
        <f t="shared" si="18"/>
        <v>89.63636363636364</v>
      </c>
      <c r="D61" s="1">
        <f t="shared" si="19"/>
        <v>1773.7243636363637</v>
      </c>
      <c r="E61" s="59">
        <f t="shared" si="2"/>
        <v>1.2646551724137935E-3</v>
      </c>
      <c r="F61" s="48" t="str">
        <f t="shared" si="20"/>
        <v>Belum</v>
      </c>
      <c r="G61" s="1">
        <f t="shared" si="21"/>
        <v>252.93103448275869</v>
      </c>
      <c r="H61" s="48" t="str">
        <f t="shared" si="5"/>
        <v>Tekan</v>
      </c>
      <c r="I61" s="3">
        <f t="shared" si="22"/>
        <v>605.17783005856927</v>
      </c>
      <c r="J61" s="61">
        <f t="shared" si="7"/>
        <v>3.5999999999999995E-3</v>
      </c>
      <c r="K61" s="48" t="str">
        <f t="shared" si="23"/>
        <v>Sudah</v>
      </c>
      <c r="L61" s="1">
        <f t="shared" si="24"/>
        <v>390</v>
      </c>
      <c r="M61" s="48" t="str">
        <f t="shared" si="10"/>
        <v>Tarik</v>
      </c>
      <c r="N61" s="3">
        <f t="shared" si="25"/>
        <v>-548.89906843520862</v>
      </c>
      <c r="O61" s="59"/>
      <c r="P61" s="48"/>
      <c r="Q61" s="1"/>
      <c r="R61" s="48"/>
      <c r="S61" s="3"/>
      <c r="T61" s="3">
        <f t="shared" si="14"/>
        <v>1830.0031252597244</v>
      </c>
      <c r="U61" s="60">
        <f t="shared" si="15"/>
        <v>331.18418213905403</v>
      </c>
      <c r="V61" s="1">
        <f t="shared" si="16"/>
        <v>0.78333333333333333</v>
      </c>
      <c r="W61" s="3">
        <f t="shared" si="12"/>
        <v>1433.5024481201174</v>
      </c>
      <c r="X61" s="3">
        <f t="shared" si="17"/>
        <v>259.42760934225896</v>
      </c>
    </row>
    <row r="62" spans="1:24" x14ac:dyDescent="0.25">
      <c r="A62" s="1">
        <v>-6</v>
      </c>
      <c r="B62" s="3">
        <f t="shared" si="26"/>
        <v>98.424242424242436</v>
      </c>
      <c r="C62" s="3">
        <f t="shared" si="18"/>
        <v>83.660606060606071</v>
      </c>
      <c r="D62" s="1">
        <f t="shared" si="19"/>
        <v>1655.4760727272728</v>
      </c>
      <c r="E62" s="59">
        <f t="shared" si="2"/>
        <v>1.1407019704433499E-3</v>
      </c>
      <c r="F62" s="48" t="str">
        <f t="shared" si="20"/>
        <v>Belum</v>
      </c>
      <c r="G62" s="1">
        <f t="shared" si="21"/>
        <v>228.14039408866998</v>
      </c>
      <c r="H62" s="48" t="str">
        <f t="shared" si="5"/>
        <v>Tekan</v>
      </c>
      <c r="I62" s="3">
        <f t="shared" si="22"/>
        <v>539.2116966609118</v>
      </c>
      <c r="J62" s="61">
        <f t="shared" si="7"/>
        <v>4.0714285714285705E-3</v>
      </c>
      <c r="K62" s="48" t="str">
        <f t="shared" si="23"/>
        <v>Sudah</v>
      </c>
      <c r="L62" s="1">
        <f t="shared" si="24"/>
        <v>390</v>
      </c>
      <c r="M62" s="48" t="str">
        <f t="shared" si="10"/>
        <v>Tarik</v>
      </c>
      <c r="N62" s="3">
        <f t="shared" si="25"/>
        <v>-548.89906843520862</v>
      </c>
      <c r="O62" s="59"/>
      <c r="P62" s="48"/>
      <c r="Q62" s="1"/>
      <c r="R62" s="48"/>
      <c r="S62" s="3"/>
      <c r="T62" s="3">
        <f t="shared" si="14"/>
        <v>1645.7887009529761</v>
      </c>
      <c r="U62" s="60">
        <f t="shared" si="15"/>
        <v>313.21662726582576</v>
      </c>
      <c r="V62" s="1">
        <f t="shared" si="16"/>
        <v>0.82261904761904758</v>
      </c>
      <c r="W62" s="3">
        <f t="shared" si="12"/>
        <v>1353.8571337601268</v>
      </c>
      <c r="X62" s="3">
        <f t="shared" si="17"/>
        <v>257.65796361986378</v>
      </c>
    </row>
    <row r="63" spans="1:24" x14ac:dyDescent="0.25">
      <c r="A63" s="1">
        <v>-7</v>
      </c>
      <c r="B63" s="3">
        <f t="shared" si="26"/>
        <v>91.393939393939405</v>
      </c>
      <c r="C63" s="3">
        <f t="shared" si="18"/>
        <v>77.684848484848487</v>
      </c>
      <c r="D63" s="1">
        <f t="shared" si="19"/>
        <v>1537.2277818181817</v>
      </c>
      <c r="E63" s="59">
        <f t="shared" si="2"/>
        <v>9.9767904509283833E-4</v>
      </c>
      <c r="F63" s="48" t="str">
        <f t="shared" si="20"/>
        <v>Belum</v>
      </c>
      <c r="G63" s="1">
        <f t="shared" si="21"/>
        <v>199.53580901856768</v>
      </c>
      <c r="H63" s="48" t="str">
        <f t="shared" si="5"/>
        <v>Tekan</v>
      </c>
      <c r="I63" s="3">
        <f t="shared" si="22"/>
        <v>463.09692735592233</v>
      </c>
      <c r="J63" s="61">
        <f t="shared" si="7"/>
        <v>4.6153846153846141E-3</v>
      </c>
      <c r="K63" s="48" t="str">
        <f t="shared" si="23"/>
        <v>Sudah</v>
      </c>
      <c r="L63" s="1">
        <f t="shared" si="24"/>
        <v>390</v>
      </c>
      <c r="M63" s="48" t="str">
        <f t="shared" si="10"/>
        <v>Tarik</v>
      </c>
      <c r="N63" s="3">
        <f t="shared" si="25"/>
        <v>-548.89906843520862</v>
      </c>
      <c r="O63" s="59"/>
      <c r="P63" s="48"/>
      <c r="Q63" s="1"/>
      <c r="R63" s="48"/>
      <c r="S63" s="3"/>
      <c r="T63" s="3">
        <f t="shared" si="14"/>
        <v>1451.4256407388955</v>
      </c>
      <c r="U63" s="60">
        <f t="shared" si="15"/>
        <v>293.3855047789412</v>
      </c>
      <c r="V63" s="1">
        <f t="shared" si="16"/>
        <v>0.86794871794871786</v>
      </c>
      <c r="W63" s="3">
        <f t="shared" si="12"/>
        <v>1259.7630240772207</v>
      </c>
      <c r="X63" s="3">
        <f t="shared" si="17"/>
        <v>254.64357273761945</v>
      </c>
    </row>
    <row r="64" spans="1:24" x14ac:dyDescent="0.25">
      <c r="A64" s="1">
        <v>-8</v>
      </c>
      <c r="B64" s="3">
        <f t="shared" si="26"/>
        <v>84.363636363636374</v>
      </c>
      <c r="C64" s="3">
        <f t="shared" si="18"/>
        <v>71.709090909090918</v>
      </c>
      <c r="D64" s="1">
        <f t="shared" si="19"/>
        <v>1418.9794909090911</v>
      </c>
      <c r="E64" s="59">
        <f t="shared" si="2"/>
        <v>8.3081896551724166E-4</v>
      </c>
      <c r="F64" s="48" t="str">
        <f t="shared" si="20"/>
        <v>Belum</v>
      </c>
      <c r="G64" s="1">
        <f t="shared" si="21"/>
        <v>166.16379310344834</v>
      </c>
      <c r="H64" s="48" t="str">
        <f t="shared" si="5"/>
        <v>Tekan</v>
      </c>
      <c r="I64" s="3">
        <f t="shared" si="22"/>
        <v>374.29636316676817</v>
      </c>
      <c r="J64" s="61">
        <f t="shared" si="7"/>
        <v>5.2499999999999986E-3</v>
      </c>
      <c r="K64" s="48" t="str">
        <f t="shared" si="23"/>
        <v>Sudah</v>
      </c>
      <c r="L64" s="1">
        <f t="shared" si="24"/>
        <v>390</v>
      </c>
      <c r="M64" s="48" t="str">
        <f t="shared" si="10"/>
        <v>Tarik</v>
      </c>
      <c r="N64" s="3">
        <f t="shared" si="25"/>
        <v>-548.89906843520862</v>
      </c>
      <c r="O64" s="59"/>
      <c r="P64" s="48"/>
      <c r="Q64" s="1"/>
      <c r="R64" s="48"/>
      <c r="S64" s="3"/>
      <c r="T64" s="3">
        <f t="shared" si="14"/>
        <v>1244.3767856406505</v>
      </c>
      <c r="U64" s="60">
        <f t="shared" si="15"/>
        <v>271.40157855504162</v>
      </c>
      <c r="V64" s="1">
        <f t="shared" si="16"/>
        <v>0.9</v>
      </c>
      <c r="W64" s="3">
        <f t="shared" si="12"/>
        <v>1119.9391070765855</v>
      </c>
      <c r="X64" s="3">
        <f t="shared" si="17"/>
        <v>244.26142069953747</v>
      </c>
    </row>
    <row r="65" spans="1:24" x14ac:dyDescent="0.25">
      <c r="A65" s="1">
        <v>-9</v>
      </c>
      <c r="B65" s="3">
        <f t="shared" si="26"/>
        <v>77.333333333333343</v>
      </c>
      <c r="C65" s="3">
        <f t="shared" si="18"/>
        <v>65.733333333333334</v>
      </c>
      <c r="D65" s="1">
        <f t="shared" si="19"/>
        <v>1300.7311999999999</v>
      </c>
      <c r="E65" s="59">
        <f t="shared" si="2"/>
        <v>6.336206896551727E-4</v>
      </c>
      <c r="F65" s="48" t="str">
        <f t="shared" si="20"/>
        <v>Belum</v>
      </c>
      <c r="G65" s="1">
        <f t="shared" si="21"/>
        <v>126.72413793103453</v>
      </c>
      <c r="H65" s="48" t="str">
        <f t="shared" si="5"/>
        <v>Tekan</v>
      </c>
      <c r="I65" s="3">
        <f t="shared" si="22"/>
        <v>269.35024185231305</v>
      </c>
      <c r="J65" s="61">
        <f t="shared" si="7"/>
        <v>5.9999999999999984E-3</v>
      </c>
      <c r="K65" s="48" t="str">
        <f t="shared" si="23"/>
        <v>Sudah</v>
      </c>
      <c r="L65" s="1">
        <f t="shared" si="24"/>
        <v>390</v>
      </c>
      <c r="M65" s="48" t="str">
        <f t="shared" si="10"/>
        <v>Tarik</v>
      </c>
      <c r="N65" s="3">
        <f t="shared" si="25"/>
        <v>-548.89906843520862</v>
      </c>
      <c r="O65" s="59"/>
      <c r="P65" s="48"/>
      <c r="Q65" s="1"/>
      <c r="R65" s="48"/>
      <c r="S65" s="3"/>
      <c r="T65" s="3">
        <f t="shared" si="14"/>
        <v>1021.1823734171044</v>
      </c>
      <c r="U65" s="60">
        <f t="shared" si="15"/>
        <v>246.87043569863724</v>
      </c>
      <c r="V65" s="1">
        <f t="shared" si="16"/>
        <v>0.9</v>
      </c>
      <c r="W65" s="3">
        <f t="shared" si="12"/>
        <v>919.064136075394</v>
      </c>
      <c r="X65" s="3">
        <f t="shared" si="17"/>
        <v>222.18339212877351</v>
      </c>
    </row>
    <row r="66" spans="1:24" x14ac:dyDescent="0.25">
      <c r="A66" s="1">
        <v>-10</v>
      </c>
      <c r="B66" s="3">
        <f t="shared" si="26"/>
        <v>70.303030303030312</v>
      </c>
      <c r="C66" s="3">
        <f t="shared" si="18"/>
        <v>59.757575757575765</v>
      </c>
      <c r="D66" s="1">
        <f t="shared" si="19"/>
        <v>1182.4829090909093</v>
      </c>
      <c r="E66" s="59">
        <f t="shared" si="2"/>
        <v>3.9698275862069002E-4</v>
      </c>
      <c r="F66" s="48" t="str">
        <f t="shared" si="20"/>
        <v>Belum</v>
      </c>
      <c r="G66" s="1">
        <f t="shared" si="21"/>
        <v>79.396551724138007</v>
      </c>
      <c r="H66" s="48" t="str">
        <f t="shared" si="5"/>
        <v>Tekan</v>
      </c>
      <c r="I66" s="3">
        <f t="shared" si="22"/>
        <v>143.41489627496699</v>
      </c>
      <c r="J66" s="61">
        <f t="shared" si="7"/>
        <v>6.8999999999999981E-3</v>
      </c>
      <c r="K66" s="48" t="str">
        <f t="shared" si="23"/>
        <v>Sudah</v>
      </c>
      <c r="L66" s="1">
        <f t="shared" si="24"/>
        <v>390</v>
      </c>
      <c r="M66" s="48" t="str">
        <f t="shared" si="10"/>
        <v>Tarik</v>
      </c>
      <c r="N66" s="3">
        <f t="shared" si="25"/>
        <v>-548.89906843520862</v>
      </c>
      <c r="O66" s="59"/>
      <c r="P66" s="48"/>
      <c r="Q66" s="1"/>
      <c r="R66" s="48"/>
      <c r="S66" s="3"/>
      <c r="T66" s="3">
        <f t="shared" si="14"/>
        <v>776.99873693066775</v>
      </c>
      <c r="U66" s="60">
        <f t="shared" si="15"/>
        <v>219.23989815604295</v>
      </c>
      <c r="V66" s="1">
        <f t="shared" si="16"/>
        <v>0.9</v>
      </c>
      <c r="W66" s="3">
        <f t="shared" si="12"/>
        <v>699.29886323760104</v>
      </c>
      <c r="X66" s="3">
        <f t="shared" si="17"/>
        <v>197.31590834043865</v>
      </c>
    </row>
    <row r="67" spans="1:24" s="68" customFormat="1" x14ac:dyDescent="0.25">
      <c r="A67" s="1">
        <v>-11</v>
      </c>
      <c r="B67" s="3">
        <f t="shared" si="26"/>
        <v>63.27272727272728</v>
      </c>
      <c r="C67" s="3">
        <f t="shared" ref="C67:C72" si="27">$G$20*B67</f>
        <v>53.781818181818188</v>
      </c>
      <c r="D67" s="1">
        <f t="shared" ref="D67:D72" si="28">0.85*$G$5*C67*$G$8/1000</f>
        <v>1064.2346181818182</v>
      </c>
      <c r="E67" s="59">
        <f t="shared" ref="E67:E72" si="29">ABS(B67-$L$19)/B67*$G$21</f>
        <v>1.0775862068965552E-4</v>
      </c>
      <c r="F67" s="55" t="str">
        <f t="shared" ref="F67:F72" si="30">IF(E67&lt;$G$6/$G$7,"Belum","Sudah")</f>
        <v>Belum</v>
      </c>
      <c r="G67" s="1">
        <f t="shared" ref="G67:G72" si="31">IF(F67="Sudah",$G$6,E67*$G$7)</f>
        <v>21.551724137931103</v>
      </c>
      <c r="H67" s="55" t="str">
        <f t="shared" ref="H67:H72" si="32">IF(B67&gt;$L$19,"Tekan","Tarik")</f>
        <v>Tekan</v>
      </c>
      <c r="I67" s="3">
        <f t="shared" ref="I67:I72" si="33">$L$13*(G67-$G$20*$G$5)/1000*IF(H67="Tarik",-1,1)</f>
        <v>-10.506081652900457</v>
      </c>
      <c r="J67" s="61">
        <f t="shared" ref="J67:J72" si="34">ABS(B67-$L$20)/B67*$G$21</f>
        <v>7.9999999999999984E-3</v>
      </c>
      <c r="K67" s="55" t="str">
        <f t="shared" ref="K67:K72" si="35">IF(J67&lt;$G$6/$G$7,"Belum","Sudah")</f>
        <v>Sudah</v>
      </c>
      <c r="L67" s="1">
        <f t="shared" ref="L67:L72" si="36">IF(K67="Sudah",$G$6,J67*$G$7)</f>
        <v>390</v>
      </c>
      <c r="M67" s="55" t="str">
        <f t="shared" ref="M67:M72" si="37">IF(B67&gt;$L$20,"Tekan","Tarik")</f>
        <v>Tarik</v>
      </c>
      <c r="N67" s="3">
        <f t="shared" ref="N67:N72" si="38">$L$14*L67/1000*IF(M67="Tarik",-1,1)</f>
        <v>-548.89906843520862</v>
      </c>
      <c r="O67" s="59"/>
      <c r="P67" s="55"/>
      <c r="Q67" s="1"/>
      <c r="R67" s="55"/>
      <c r="S67" s="3"/>
      <c r="T67" s="3">
        <f t="shared" si="14"/>
        <v>504.82946809370901</v>
      </c>
      <c r="U67" s="60">
        <f t="shared" si="15"/>
        <v>187.71237540526877</v>
      </c>
      <c r="V67" s="1">
        <f t="shared" si="16"/>
        <v>0.9</v>
      </c>
      <c r="W67" s="3">
        <f t="shared" si="12"/>
        <v>454.34652128433811</v>
      </c>
      <c r="X67" s="3">
        <f t="shared" si="17"/>
        <v>168.9411378647419</v>
      </c>
    </row>
    <row r="68" spans="1:24" s="68" customFormat="1" x14ac:dyDescent="0.25">
      <c r="A68" s="1">
        <v>-12</v>
      </c>
      <c r="B68" s="3">
        <f t="shared" si="26"/>
        <v>56.242424242424249</v>
      </c>
      <c r="C68" s="3">
        <f t="shared" si="27"/>
        <v>47.806060606060612</v>
      </c>
      <c r="D68" s="1">
        <f t="shared" si="28"/>
        <v>945.98632727272741</v>
      </c>
      <c r="E68" s="59">
        <f t="shared" si="29"/>
        <v>2.5377155172413753E-4</v>
      </c>
      <c r="F68" s="55" t="str">
        <f t="shared" si="30"/>
        <v>Belum</v>
      </c>
      <c r="G68" s="1">
        <f t="shared" si="31"/>
        <v>50.754310344827509</v>
      </c>
      <c r="H68" s="55" t="str">
        <f t="shared" si="32"/>
        <v>Tarik</v>
      </c>
      <c r="I68" s="3">
        <f t="shared" si="33"/>
        <v>-67.19992620561645</v>
      </c>
      <c r="J68" s="61">
        <f t="shared" si="34"/>
        <v>9.3749999999999997E-3</v>
      </c>
      <c r="K68" s="55" t="str">
        <f t="shared" si="35"/>
        <v>Sudah</v>
      </c>
      <c r="L68" s="1">
        <f t="shared" si="36"/>
        <v>390</v>
      </c>
      <c r="M68" s="55" t="str">
        <f t="shared" si="37"/>
        <v>Tarik</v>
      </c>
      <c r="N68" s="3">
        <f t="shared" si="38"/>
        <v>-548.89906843520862</v>
      </c>
      <c r="O68" s="59"/>
      <c r="P68" s="55"/>
      <c r="Q68" s="1"/>
      <c r="R68" s="55"/>
      <c r="S68" s="3"/>
      <c r="T68" s="3">
        <f t="shared" si="14"/>
        <v>329.88733263190238</v>
      </c>
      <c r="U68" s="60">
        <f t="shared" si="15"/>
        <v>166.56212273904157</v>
      </c>
      <c r="V68" s="1">
        <f t="shared" si="16"/>
        <v>0.9</v>
      </c>
      <c r="W68" s="3">
        <f t="shared" si="12"/>
        <v>296.89859936871215</v>
      </c>
      <c r="X68" s="3">
        <f t="shared" si="17"/>
        <v>149.90591046513742</v>
      </c>
    </row>
    <row r="69" spans="1:24" s="68" customFormat="1" x14ac:dyDescent="0.25">
      <c r="A69" s="1" t="s">
        <v>215</v>
      </c>
      <c r="B69" s="62">
        <v>49.844319710983321</v>
      </c>
      <c r="C69" s="3">
        <f>$G$20*B69</f>
        <v>42.367671754335824</v>
      </c>
      <c r="D69" s="1">
        <f>0.85*$G$5*C69*$G$8/1000</f>
        <v>838.37148867479721</v>
      </c>
      <c r="E69" s="59">
        <f>ABS(B69-$L$19)/B69*$G$21</f>
        <v>6.7143138999799592E-4</v>
      </c>
      <c r="F69" s="48" t="str">
        <f>IF(E69&lt;$G$6/$G$7,"Belum","Sudah")</f>
        <v>Belum</v>
      </c>
      <c r="G69" s="1">
        <f>IF(F69="Sudah",$G$6,E69*$G$7)</f>
        <v>134.28627799959918</v>
      </c>
      <c r="H69" s="48" t="str">
        <f>IF(B69&gt;$L$19,"Tekan","Tarik")</f>
        <v>Tarik</v>
      </c>
      <c r="I69" s="3">
        <f>$L$13*(G69-$G$20*$G$5)/1000*IF(H69="Tarik",-1,1)</f>
        <v>-289.47255949335533</v>
      </c>
      <c r="J69" s="61">
        <f>ABS(B69-$L$20)/B69*$G$21</f>
        <v>1.0963476761959591E-2</v>
      </c>
      <c r="K69" s="48" t="str">
        <f>IF(J69&lt;$G$6/$G$7,"Belum","Sudah")</f>
        <v>Sudah</v>
      </c>
      <c r="L69" s="1">
        <f>IF(K69="Sudah",$G$6,J69*$G$7)</f>
        <v>390</v>
      </c>
      <c r="M69" s="48" t="str">
        <f>IF(B69&gt;$L$20,"Tekan","Tarik")</f>
        <v>Tarik</v>
      </c>
      <c r="N69" s="3">
        <f>$L$14*L69/1000*IF(M69="Tarik",-1,1)</f>
        <v>-548.89906843520862</v>
      </c>
      <c r="O69" s="59"/>
      <c r="P69" s="48"/>
      <c r="Q69" s="1"/>
      <c r="R69" s="48"/>
      <c r="S69" s="3"/>
      <c r="T69" s="3">
        <f>(D69+I69+N69)</f>
        <v>-1.3925376674706058E-4</v>
      </c>
      <c r="U69" s="60">
        <f>(D69*($G$9/2-C69/2)+I69*($G$9/2-$L$19)-N69*ABS($G$9/2-$L$20))/1000</f>
        <v>127.24246161647004</v>
      </c>
      <c r="V69" s="1">
        <f>IF(J69&lt;0.002,$G$29,IF(J69&gt;0.005,0.9,0.65+(J69-0.002)*(250/3)))</f>
        <v>0.9</v>
      </c>
      <c r="W69" s="3">
        <f>T69*V69</f>
        <v>-1.2532839007235453E-4</v>
      </c>
      <c r="X69" s="3">
        <f>U69*V69</f>
        <v>114.51821545482304</v>
      </c>
    </row>
    <row r="70" spans="1:24" s="68" customFormat="1" x14ac:dyDescent="0.25">
      <c r="A70" s="1">
        <v>-13</v>
      </c>
      <c r="B70" s="3">
        <f t="shared" si="26"/>
        <v>49.212121212121218</v>
      </c>
      <c r="C70" s="3">
        <f t="shared" si="27"/>
        <v>41.830303030303035</v>
      </c>
      <c r="D70" s="1">
        <f t="shared" si="28"/>
        <v>827.73803636363641</v>
      </c>
      <c r="E70" s="59">
        <f t="shared" si="29"/>
        <v>7.1859605911330014E-4</v>
      </c>
      <c r="F70" s="55" t="str">
        <f t="shared" si="30"/>
        <v>Belum</v>
      </c>
      <c r="G70" s="1">
        <f t="shared" si="31"/>
        <v>143.71921182266001</v>
      </c>
      <c r="H70" s="55" t="str">
        <f t="shared" si="32"/>
        <v>Tarik</v>
      </c>
      <c r="I70" s="3">
        <f t="shared" si="33"/>
        <v>-314.57292644683196</v>
      </c>
      <c r="J70" s="61">
        <f t="shared" si="34"/>
        <v>1.114285714285714E-2</v>
      </c>
      <c r="K70" s="55" t="str">
        <f t="shared" si="35"/>
        <v>Sudah</v>
      </c>
      <c r="L70" s="1">
        <f t="shared" si="36"/>
        <v>390</v>
      </c>
      <c r="M70" s="55" t="str">
        <f t="shared" si="37"/>
        <v>Tarik</v>
      </c>
      <c r="N70" s="3">
        <f t="shared" si="38"/>
        <v>-548.89906843520862</v>
      </c>
      <c r="O70" s="59"/>
      <c r="P70" s="55"/>
      <c r="Q70" s="1"/>
      <c r="R70" s="55"/>
      <c r="S70" s="3"/>
      <c r="T70" s="3">
        <f t="shared" si="14"/>
        <v>-35.733958518404165</v>
      </c>
      <c r="U70" s="60">
        <f t="shared" si="15"/>
        <v>122.96782320410497</v>
      </c>
      <c r="V70" s="1">
        <f t="shared" si="16"/>
        <v>0.9</v>
      </c>
      <c r="W70" s="3">
        <f t="shared" si="12"/>
        <v>-32.160562666563749</v>
      </c>
      <c r="X70" s="3">
        <f t="shared" si="17"/>
        <v>110.67104088369447</v>
      </c>
    </row>
    <row r="71" spans="1:24" s="68" customFormat="1" x14ac:dyDescent="0.25">
      <c r="A71" s="1">
        <v>-14</v>
      </c>
      <c r="B71" s="3">
        <f t="shared" si="26"/>
        <v>42.181818181818187</v>
      </c>
      <c r="C71" s="3">
        <f t="shared" si="27"/>
        <v>35.854545454545459</v>
      </c>
      <c r="D71" s="1">
        <f t="shared" si="28"/>
        <v>709.48974545454553</v>
      </c>
      <c r="E71" s="59">
        <f t="shared" si="29"/>
        <v>1.3383620689655167E-3</v>
      </c>
      <c r="F71" s="55" t="str">
        <f t="shared" si="30"/>
        <v>Belum</v>
      </c>
      <c r="G71" s="1">
        <f t="shared" si="31"/>
        <v>267.67241379310337</v>
      </c>
      <c r="H71" s="55" t="str">
        <f t="shared" si="32"/>
        <v>Tarik</v>
      </c>
      <c r="I71" s="3">
        <f t="shared" si="33"/>
        <v>-644.40359343511932</v>
      </c>
      <c r="J71" s="61">
        <f t="shared" si="34"/>
        <v>1.3499999999999998E-2</v>
      </c>
      <c r="K71" s="55" t="str">
        <f t="shared" si="35"/>
        <v>Sudah</v>
      </c>
      <c r="L71" s="1">
        <f t="shared" si="36"/>
        <v>390</v>
      </c>
      <c r="M71" s="55" t="str">
        <f t="shared" si="37"/>
        <v>Tarik</v>
      </c>
      <c r="N71" s="3">
        <f t="shared" si="38"/>
        <v>-548.89906843520862</v>
      </c>
      <c r="O71" s="59"/>
      <c r="P71" s="55"/>
      <c r="Q71" s="1"/>
      <c r="R71" s="55"/>
      <c r="S71" s="3"/>
      <c r="T71" s="3">
        <f t="shared" si="14"/>
        <v>-483.81291641578241</v>
      </c>
      <c r="U71" s="60">
        <f t="shared" si="15"/>
        <v>69.266726539781814</v>
      </c>
      <c r="V71" s="1">
        <f t="shared" si="16"/>
        <v>0.9</v>
      </c>
      <c r="W71" s="3">
        <f t="shared" si="12"/>
        <v>-435.43162477420418</v>
      </c>
      <c r="X71" s="3">
        <f t="shared" si="17"/>
        <v>62.340053885803634</v>
      </c>
    </row>
    <row r="72" spans="1:24" s="68" customFormat="1" x14ac:dyDescent="0.25">
      <c r="A72" s="1">
        <v>-15</v>
      </c>
      <c r="B72" s="3">
        <f t="shared" si="26"/>
        <v>35.151515151515156</v>
      </c>
      <c r="C72" s="3">
        <f t="shared" si="27"/>
        <v>29.878787878787882</v>
      </c>
      <c r="D72" s="1">
        <f t="shared" si="28"/>
        <v>591.24145454545464</v>
      </c>
      <c r="E72" s="59">
        <f t="shared" si="29"/>
        <v>2.2060344827586199E-3</v>
      </c>
      <c r="F72" s="55" t="str">
        <f t="shared" si="30"/>
        <v>Sudah</v>
      </c>
      <c r="G72" s="1">
        <f t="shared" si="31"/>
        <v>390</v>
      </c>
      <c r="H72" s="55" t="str">
        <f t="shared" si="32"/>
        <v>Tarik</v>
      </c>
      <c r="I72" s="3">
        <f t="shared" si="33"/>
        <v>-969.90861233175735</v>
      </c>
      <c r="J72" s="61">
        <f t="shared" si="34"/>
        <v>1.6799999999999995E-2</v>
      </c>
      <c r="K72" s="55" t="str">
        <f t="shared" si="35"/>
        <v>Sudah</v>
      </c>
      <c r="L72" s="1">
        <f t="shared" si="36"/>
        <v>390</v>
      </c>
      <c r="M72" s="55" t="str">
        <f t="shared" si="37"/>
        <v>Tarik</v>
      </c>
      <c r="N72" s="3">
        <f t="shared" si="38"/>
        <v>-548.89906843520862</v>
      </c>
      <c r="O72" s="59"/>
      <c r="P72" s="55"/>
      <c r="Q72" s="1"/>
      <c r="R72" s="55"/>
      <c r="S72" s="3"/>
      <c r="T72" s="3">
        <f t="shared" si="14"/>
        <v>-927.56622622151133</v>
      </c>
      <c r="U72" s="60">
        <f t="shared" si="15"/>
        <v>15.352130637686281</v>
      </c>
      <c r="V72" s="1">
        <f t="shared" si="16"/>
        <v>0.9</v>
      </c>
      <c r="W72" s="3">
        <f t="shared" si="12"/>
        <v>-834.80960359936023</v>
      </c>
      <c r="X72" s="3">
        <f t="shared" si="17"/>
        <v>13.816917573917653</v>
      </c>
    </row>
    <row r="73" spans="1:24" s="68" customFormat="1" x14ac:dyDescent="0.25">
      <c r="A73" s="1" t="s">
        <v>2031</v>
      </c>
      <c r="B73" s="62">
        <v>28.973770513348377</v>
      </c>
      <c r="C73" s="3">
        <f t="shared" ref="C73" si="39">$G$20*B73</f>
        <v>24.62770493634612</v>
      </c>
      <c r="D73" s="1">
        <f t="shared" ref="D73" si="40">0.85*$G$5*C73*$G$8/1000</f>
        <v>487.33302528041702</v>
      </c>
      <c r="E73" s="59">
        <f t="shared" ref="E73" si="41">ABS(B73-$L$19)/B73*$G$21</f>
        <v>3.316057480875362E-3</v>
      </c>
      <c r="F73" s="55" t="str">
        <f t="shared" ref="F73" si="42">IF(E73&lt;$G$6/$G$7,"Belum","Sudah")</f>
        <v>Sudah</v>
      </c>
      <c r="G73" s="1">
        <f t="shared" ref="G73" si="43">IF(F73="Sudah",$G$6,E73*$G$7)</f>
        <v>390</v>
      </c>
      <c r="H73" s="55" t="str">
        <f t="shared" ref="H73" si="44">IF(B73&gt;$L$19,"Tekan","Tarik")</f>
        <v>Tarik</v>
      </c>
      <c r="I73" s="3">
        <f t="shared" ref="I73" si="45">$L$13*(G73-$G$20*$G$5)/1000*IF(H73="Tarik",-1,1)</f>
        <v>-969.90861233175735</v>
      </c>
      <c r="J73" s="61">
        <f t="shared" ref="J73" si="46">ABS(B73-$L$20)/B73*$G$21</f>
        <v>2.1021726812509578E-2</v>
      </c>
      <c r="K73" s="55" t="str">
        <f t="shared" ref="K73" si="47">IF(J73&lt;$G$6/$G$7,"Belum","Sudah")</f>
        <v>Sudah</v>
      </c>
      <c r="L73" s="1">
        <f t="shared" ref="L73" si="48">IF(K73="Sudah",$G$6,J73*$G$7)</f>
        <v>390</v>
      </c>
      <c r="M73" s="55" t="str">
        <f t="shared" ref="M73" si="49">IF(B73&gt;$L$20,"Tekan","Tarik")</f>
        <v>Tarik</v>
      </c>
      <c r="N73" s="3">
        <f t="shared" ref="N73" si="50">$L$14*L73/1000*IF(M73="Tarik",-1,1)</f>
        <v>-548.89906843520862</v>
      </c>
      <c r="O73" s="59"/>
      <c r="P73" s="55"/>
      <c r="Q73" s="1"/>
      <c r="R73" s="55"/>
      <c r="S73" s="3"/>
      <c r="T73" s="3">
        <f>(D73+I73+N73)</f>
        <v>-1031.474655486549</v>
      </c>
      <c r="U73" s="60">
        <f>(D73*($G$9/2-C73/2)+I73*($G$9/2-$L$19)-N73*ABS($G$9/2-$L$20))/1000</f>
        <v>-2.4571119829488452E-6</v>
      </c>
      <c r="V73" s="1">
        <f>IF(J73&lt;0.002,$G$29,IF(J73&gt;0.005,0.9,0.65+(J73-0.002)*(250/3)))</f>
        <v>0.9</v>
      </c>
      <c r="W73" s="3">
        <f>T73*V73</f>
        <v>-928.3271899378941</v>
      </c>
      <c r="X73" s="3">
        <f>U73*V73</f>
        <v>-2.2114007846539607E-6</v>
      </c>
    </row>
    <row r="74" spans="1:24" s="68" customFormat="1" x14ac:dyDescent="0.25"/>
    <row r="75" spans="1:24" x14ac:dyDescent="0.25">
      <c r="B75" s="53"/>
      <c r="C75" s="53"/>
      <c r="I75" s="53"/>
      <c r="J75" s="58"/>
      <c r="K75" s="52"/>
      <c r="M75" s="52"/>
      <c r="N75" s="53"/>
      <c r="O75" s="50"/>
      <c r="R75" s="52"/>
      <c r="S75" s="53"/>
      <c r="T75" s="53"/>
      <c r="U75" s="57"/>
    </row>
    <row r="76" spans="1:24" x14ac:dyDescent="0.25">
      <c r="A76" s="160" t="s">
        <v>216</v>
      </c>
      <c r="B76" s="156" t="s">
        <v>173</v>
      </c>
      <c r="C76" s="156"/>
      <c r="D76" s="156"/>
      <c r="E76" s="156" t="s">
        <v>1092</v>
      </c>
      <c r="F76" s="156"/>
      <c r="G76" s="156"/>
      <c r="H76" s="156"/>
      <c r="I76" s="156"/>
      <c r="J76" s="156" t="s">
        <v>1091</v>
      </c>
      <c r="K76" s="156"/>
      <c r="L76" s="156"/>
      <c r="M76" s="156"/>
      <c r="N76" s="156"/>
      <c r="O76" s="156" t="s">
        <v>1093</v>
      </c>
      <c r="P76" s="156"/>
      <c r="Q76" s="156"/>
      <c r="R76" s="156"/>
      <c r="S76" s="156"/>
      <c r="T76" s="156" t="s">
        <v>2034</v>
      </c>
      <c r="U76" s="156"/>
      <c r="V76" s="158" t="s">
        <v>201</v>
      </c>
      <c r="W76" s="156" t="s">
        <v>2035</v>
      </c>
      <c r="X76" s="156"/>
    </row>
    <row r="77" spans="1:24" x14ac:dyDescent="0.25">
      <c r="A77" s="160"/>
      <c r="B77" s="48" t="s">
        <v>194</v>
      </c>
      <c r="C77" s="48" t="s">
        <v>195</v>
      </c>
      <c r="D77" s="48" t="s">
        <v>196</v>
      </c>
      <c r="E77" s="48" t="s">
        <v>197</v>
      </c>
      <c r="F77" s="48" t="s">
        <v>213</v>
      </c>
      <c r="G77" s="48" t="s">
        <v>214</v>
      </c>
      <c r="H77" s="48" t="s">
        <v>198</v>
      </c>
      <c r="I77" s="48" t="s">
        <v>204</v>
      </c>
      <c r="J77" s="48" t="s">
        <v>197</v>
      </c>
      <c r="K77" s="48" t="s">
        <v>213</v>
      </c>
      <c r="L77" s="48" t="s">
        <v>214</v>
      </c>
      <c r="M77" s="48" t="s">
        <v>198</v>
      </c>
      <c r="N77" s="48" t="s">
        <v>205</v>
      </c>
      <c r="O77" s="48" t="s">
        <v>197</v>
      </c>
      <c r="P77" s="48" t="s">
        <v>213</v>
      </c>
      <c r="Q77" s="48" t="s">
        <v>214</v>
      </c>
      <c r="R77" s="48" t="s">
        <v>198</v>
      </c>
      <c r="S77" s="48" t="s">
        <v>206</v>
      </c>
      <c r="T77" s="55" t="s">
        <v>207</v>
      </c>
      <c r="U77" s="55" t="s">
        <v>208</v>
      </c>
      <c r="V77" s="158"/>
      <c r="W77" s="55" t="s">
        <v>207</v>
      </c>
      <c r="X77" s="55" t="s">
        <v>208</v>
      </c>
    </row>
    <row r="78" spans="1:24" x14ac:dyDescent="0.25">
      <c r="A78" s="48" t="s">
        <v>209</v>
      </c>
      <c r="B78" s="1"/>
      <c r="C78" s="1"/>
      <c r="D78" s="1"/>
      <c r="E78" s="59"/>
      <c r="F78" s="48"/>
      <c r="G78" s="1"/>
      <c r="H78" s="48"/>
      <c r="I78" s="3"/>
      <c r="J78" s="1"/>
      <c r="K78" s="1"/>
      <c r="L78" s="1"/>
      <c r="M78" s="1"/>
      <c r="N78" s="1"/>
      <c r="O78" s="1"/>
      <c r="P78" s="48"/>
      <c r="Q78" s="1"/>
      <c r="R78" s="1"/>
      <c r="S78" s="1"/>
      <c r="T78" s="3">
        <f>0.8*($G$20*$G$5*($L$12-($L$13+$L$14))+$G$6*($L$13+$L$14))/1000</f>
        <v>6726.9745010338866</v>
      </c>
      <c r="U78" s="1">
        <v>0</v>
      </c>
      <c r="V78" s="1">
        <f>$G$29</f>
        <v>0.65</v>
      </c>
      <c r="W78" s="3">
        <f>T78*V78</f>
        <v>4372.5334256720262</v>
      </c>
      <c r="X78" s="1">
        <f>U78*V78</f>
        <v>0</v>
      </c>
    </row>
    <row r="79" spans="1:24" x14ac:dyDescent="0.25">
      <c r="A79" s="1">
        <v>20</v>
      </c>
      <c r="B79" s="3">
        <f>Q19</f>
        <v>289</v>
      </c>
      <c r="C79" s="3">
        <f t="shared" ref="C79:C119" si="51">$G$20*B79</f>
        <v>245.65</v>
      </c>
      <c r="D79" s="1">
        <f t="shared" ref="D79:D119" si="52">0.85*$G$5*C79*$G$8/1000</f>
        <v>4860.9222</v>
      </c>
      <c r="E79" s="59">
        <f>ABS(B79-$Q$19)/B79*$G$21</f>
        <v>0</v>
      </c>
      <c r="F79" s="48" t="str">
        <f t="shared" ref="F79:F119" si="53">IF(E79&lt;$G$6/$G$7,"Belum","Sudah")</f>
        <v>Belum</v>
      </c>
      <c r="G79" s="1">
        <f t="shared" ref="G79:G119" si="54">IF(F79="Sudah",$G$6,E79*$G$7)</f>
        <v>0</v>
      </c>
      <c r="H79" s="48" t="str">
        <f>IF(B79&gt;$Q$19,"Tekan","Tarik")</f>
        <v>Tarik</v>
      </c>
      <c r="I79" s="3">
        <f>$L$13*G79/1000*IF(H79="Tarik",-1,1)</f>
        <v>0</v>
      </c>
      <c r="J79" s="59">
        <f t="shared" ref="J79:J119" si="55">ABS(B79-$Q$20)/B79*$G$21</f>
        <v>1.7750865051903114E-3</v>
      </c>
      <c r="K79" s="48" t="str">
        <f t="shared" ref="K79:K119" si="56">IF(J79&lt;$G$6/$G$7,"Belum","Sudah")</f>
        <v>Belum</v>
      </c>
      <c r="L79" s="1">
        <f t="shared" ref="L79:L119" si="57">IF(K79="Sudah",$G$6,J79*$G$7)</f>
        <v>355.01730103806227</v>
      </c>
      <c r="M79" s="48" t="str">
        <f>IF(B79&gt;$Q$20,"Tekan","Tarik")</f>
        <v>Tekan</v>
      </c>
      <c r="N79" s="3">
        <f>$L$14*(L79-$G$20*$G$5)/1000*IF(M79="Tarik",-1,1)</f>
        <v>463.77369121301695</v>
      </c>
      <c r="O79" s="59"/>
      <c r="P79" s="48"/>
      <c r="Q79" s="1"/>
      <c r="R79" s="48"/>
      <c r="S79" s="3"/>
      <c r="T79" s="3">
        <f>(D79+I79+N79)</f>
        <v>5324.6958912130167</v>
      </c>
      <c r="U79" s="60">
        <f>-(D79*($G$9/2-C79/2)-I79*ABS($G$9/2-$Q$19)+N79*ABS($G$9/2-$Q$20))/1000</f>
        <v>-280.05371618414193</v>
      </c>
      <c r="V79" s="1">
        <f>IF(E79&lt;0.002,$G$29,IF(E79&gt;0.005,0.9,0.65+(E79-0.002)*(250/3)))</f>
        <v>0.65</v>
      </c>
      <c r="W79" s="3">
        <f t="shared" ref="W79:W118" si="58">T79*V79</f>
        <v>3461.0523292884609</v>
      </c>
      <c r="X79" s="3">
        <f>U79*V79</f>
        <v>-182.03491551969228</v>
      </c>
    </row>
    <row r="80" spans="1:24" x14ac:dyDescent="0.25">
      <c r="A80" s="1">
        <v>19</v>
      </c>
      <c r="B80" s="3">
        <f>$B$99+(A80/20*($B$79-$B$99))</f>
        <v>283.30757575757576</v>
      </c>
      <c r="C80" s="3">
        <f t="shared" si="51"/>
        <v>240.81143939393939</v>
      </c>
      <c r="D80" s="1">
        <f t="shared" si="52"/>
        <v>4765.1767627272729</v>
      </c>
      <c r="E80" s="59">
        <f t="shared" ref="E80:E120" si="59">ABS(B80-$Q$19)/B80*$G$21</f>
        <v>6.0278207109737198E-5</v>
      </c>
      <c r="F80" s="48" t="str">
        <f t="shared" si="53"/>
        <v>Belum</v>
      </c>
      <c r="G80" s="1">
        <f t="shared" si="54"/>
        <v>12.05564142194744</v>
      </c>
      <c r="H80" s="48" t="str">
        <f t="shared" ref="H80:H119" si="60">IF(B80&gt;$Q$19,"Tekan","Tarik")</f>
        <v>Tarik</v>
      </c>
      <c r="I80" s="3">
        <f t="shared" ref="I80:I119" si="61">$L$13*G80/1000*IF(H80="Tarik",-1,1)</f>
        <v>-32.079205603100945</v>
      </c>
      <c r="J80" s="59">
        <f t="shared" si="55"/>
        <v>1.7504746420797614E-3</v>
      </c>
      <c r="K80" s="48" t="str">
        <f t="shared" si="56"/>
        <v>Belum</v>
      </c>
      <c r="L80" s="1">
        <f t="shared" si="57"/>
        <v>350.09492841595227</v>
      </c>
      <c r="M80" s="48" t="str">
        <f t="shared" ref="M80:M119" si="62">IF(B80&gt;$Q$20,"Tekan","Tarik")</f>
        <v>Tekan</v>
      </c>
      <c r="N80" s="3">
        <f t="shared" ref="N80:N119" si="63">$L$14*(L80-$G$20*$G$5)/1000*IF(M80="Tarik",-1,1)</f>
        <v>456.84577904181913</v>
      </c>
      <c r="O80" s="59"/>
      <c r="P80" s="48"/>
      <c r="Q80" s="1"/>
      <c r="R80" s="48"/>
      <c r="S80" s="3"/>
      <c r="T80" s="3">
        <f t="shared" ref="T80:T120" si="64">(D80+I80+N80)</f>
        <v>5189.9433361659912</v>
      </c>
      <c r="U80" s="60">
        <f t="shared" ref="U80:U119" si="65">-(D80*($G$9/2-C80/2)-I80*ABS($G$9/2-$Q$19)+N80*ABS($G$9/2-$Q$20))/1000</f>
        <v>-289.84863472195644</v>
      </c>
      <c r="V80" s="1">
        <f t="shared" ref="V80:V120" si="66">IF(E80&lt;0.002,$G$29,IF(E80&gt;0.005,0.9,0.65+(E80-0.002)*(250/3)))</f>
        <v>0.65</v>
      </c>
      <c r="W80" s="3">
        <f t="shared" si="58"/>
        <v>3373.4631685078944</v>
      </c>
      <c r="X80" s="3">
        <f t="shared" ref="X80:X118" si="67">U80*V80</f>
        <v>-188.40161256927169</v>
      </c>
    </row>
    <row r="81" spans="1:24" x14ac:dyDescent="0.25">
      <c r="A81" s="1">
        <v>18</v>
      </c>
      <c r="B81" s="3">
        <f t="shared" ref="B81:B98" si="68">$B$99+(A81/20*($B$79-$B$99))</f>
        <v>277.61515151515152</v>
      </c>
      <c r="C81" s="3">
        <f t="shared" si="51"/>
        <v>235.97287878787878</v>
      </c>
      <c r="D81" s="1">
        <f t="shared" si="52"/>
        <v>4669.431325454545</v>
      </c>
      <c r="E81" s="59">
        <f t="shared" si="59"/>
        <v>1.2302839116719232E-4</v>
      </c>
      <c r="F81" s="48" t="str">
        <f t="shared" si="53"/>
        <v>Belum</v>
      </c>
      <c r="G81" s="1">
        <f t="shared" si="54"/>
        <v>24.605678233438464</v>
      </c>
      <c r="H81" s="48" t="str">
        <f t="shared" si="60"/>
        <v>Tarik</v>
      </c>
      <c r="I81" s="3">
        <f t="shared" si="61"/>
        <v>-65.473962224625581</v>
      </c>
      <c r="J81" s="59">
        <f t="shared" si="55"/>
        <v>1.7248534596618387E-3</v>
      </c>
      <c r="K81" s="48" t="str">
        <f t="shared" si="56"/>
        <v>Belum</v>
      </c>
      <c r="L81" s="1">
        <f t="shared" si="57"/>
        <v>344.97069193236774</v>
      </c>
      <c r="M81" s="48" t="str">
        <f t="shared" si="62"/>
        <v>Tekan</v>
      </c>
      <c r="N81" s="3">
        <f t="shared" si="63"/>
        <v>449.63375690776456</v>
      </c>
      <c r="O81" s="59"/>
      <c r="P81" s="48"/>
      <c r="Q81" s="1"/>
      <c r="R81" s="48"/>
      <c r="S81" s="3"/>
      <c r="T81" s="3">
        <f t="shared" si="64"/>
        <v>5053.5911201376839</v>
      </c>
      <c r="U81" s="60">
        <f t="shared" si="65"/>
        <v>-299.31406170699057</v>
      </c>
      <c r="V81" s="1">
        <f t="shared" si="66"/>
        <v>0.65</v>
      </c>
      <c r="W81" s="3">
        <f t="shared" si="58"/>
        <v>3284.8342280894944</v>
      </c>
      <c r="X81" s="3">
        <f t="shared" si="67"/>
        <v>-194.55414010954388</v>
      </c>
    </row>
    <row r="82" spans="1:24" x14ac:dyDescent="0.25">
      <c r="A82" s="1">
        <v>17</v>
      </c>
      <c r="B82" s="3">
        <f t="shared" si="68"/>
        <v>271.92272727272729</v>
      </c>
      <c r="C82" s="3">
        <f t="shared" si="51"/>
        <v>231.13431818181817</v>
      </c>
      <c r="D82" s="1">
        <f t="shared" si="52"/>
        <v>4573.6858881818189</v>
      </c>
      <c r="E82" s="59">
        <f t="shared" si="59"/>
        <v>1.8840579710144911E-4</v>
      </c>
      <c r="F82" s="48" t="str">
        <f t="shared" si="53"/>
        <v>Belum</v>
      </c>
      <c r="G82" s="1">
        <f t="shared" si="54"/>
        <v>37.681159420289823</v>
      </c>
      <c r="H82" s="48" t="str">
        <f t="shared" si="60"/>
        <v>Tarik</v>
      </c>
      <c r="I82" s="3">
        <f t="shared" si="61"/>
        <v>-100.2668890106585</v>
      </c>
      <c r="J82" s="59">
        <f t="shared" si="55"/>
        <v>1.6981595707336644E-3</v>
      </c>
      <c r="K82" s="48" t="str">
        <f t="shared" si="56"/>
        <v>Belum</v>
      </c>
      <c r="L82" s="1">
        <f t="shared" si="57"/>
        <v>339.63191414673287</v>
      </c>
      <c r="M82" s="48" t="str">
        <f t="shared" si="62"/>
        <v>Tekan</v>
      </c>
      <c r="N82" s="3">
        <f t="shared" si="63"/>
        <v>442.11978215618103</v>
      </c>
      <c r="O82" s="59"/>
      <c r="P82" s="48"/>
      <c r="Q82" s="1"/>
      <c r="R82" s="48"/>
      <c r="S82" s="3"/>
      <c r="T82" s="3">
        <f t="shared" si="64"/>
        <v>4915.538781327341</v>
      </c>
      <c r="U82" s="60">
        <f t="shared" si="65"/>
        <v>-308.45839869058159</v>
      </c>
      <c r="V82" s="1">
        <f t="shared" si="66"/>
        <v>0.65</v>
      </c>
      <c r="W82" s="3">
        <f t="shared" si="58"/>
        <v>3195.1002078627716</v>
      </c>
      <c r="X82" s="3">
        <f t="shared" si="67"/>
        <v>-200.49795914887804</v>
      </c>
    </row>
    <row r="83" spans="1:24" x14ac:dyDescent="0.25">
      <c r="A83" s="1">
        <v>16</v>
      </c>
      <c r="B83" s="3">
        <f t="shared" si="68"/>
        <v>266.23030303030305</v>
      </c>
      <c r="C83" s="3">
        <f t="shared" si="51"/>
        <v>226.29575757575759</v>
      </c>
      <c r="D83" s="1">
        <f t="shared" si="52"/>
        <v>4477.9404509090909</v>
      </c>
      <c r="E83" s="59">
        <f t="shared" si="59"/>
        <v>2.5657894736842084E-4</v>
      </c>
      <c r="F83" s="48" t="str">
        <f t="shared" si="53"/>
        <v>Belum</v>
      </c>
      <c r="G83" s="1">
        <f t="shared" si="54"/>
        <v>51.31578947368417</v>
      </c>
      <c r="H83" s="48" t="str">
        <f t="shared" si="60"/>
        <v>Tarik</v>
      </c>
      <c r="I83" s="3">
        <f t="shared" si="61"/>
        <v>-136.54767121846257</v>
      </c>
      <c r="J83" s="59">
        <f t="shared" si="55"/>
        <v>1.6703241668184303E-3</v>
      </c>
      <c r="K83" s="48" t="str">
        <f t="shared" si="56"/>
        <v>Belum</v>
      </c>
      <c r="L83" s="1">
        <f t="shared" si="57"/>
        <v>334.06483336368609</v>
      </c>
      <c r="M83" s="48" t="str">
        <f t="shared" si="62"/>
        <v>Tekan</v>
      </c>
      <c r="N83" s="3">
        <f t="shared" si="63"/>
        <v>434.28448611587868</v>
      </c>
      <c r="O83" s="59"/>
      <c r="P83" s="48"/>
      <c r="Q83" s="1"/>
      <c r="R83" s="48"/>
      <c r="S83" s="3"/>
      <c r="T83" s="3">
        <f t="shared" si="64"/>
        <v>4775.6772658065065</v>
      </c>
      <c r="U83" s="60">
        <f t="shared" si="65"/>
        <v>-317.29076577779961</v>
      </c>
      <c r="V83" s="1">
        <f t="shared" si="66"/>
        <v>0.65</v>
      </c>
      <c r="W83" s="3">
        <f t="shared" si="58"/>
        <v>3104.1902227742294</v>
      </c>
      <c r="X83" s="3">
        <f t="shared" si="67"/>
        <v>-206.23899775556976</v>
      </c>
    </row>
    <row r="84" spans="1:24" x14ac:dyDescent="0.25">
      <c r="A84" s="1">
        <v>15</v>
      </c>
      <c r="B84" s="3">
        <f t="shared" si="68"/>
        <v>260.53787878787875</v>
      </c>
      <c r="C84" s="3">
        <f t="shared" si="51"/>
        <v>221.45719696969692</v>
      </c>
      <c r="D84" s="1">
        <f t="shared" si="52"/>
        <v>4382.195013636363</v>
      </c>
      <c r="E84" s="59">
        <f t="shared" si="59"/>
        <v>3.2773109243697528E-4</v>
      </c>
      <c r="F84" s="48" t="str">
        <f t="shared" si="53"/>
        <v>Belum</v>
      </c>
      <c r="G84" s="1">
        <f t="shared" si="54"/>
        <v>65.546218487395052</v>
      </c>
      <c r="H84" s="48" t="str">
        <f t="shared" si="60"/>
        <v>Tarik</v>
      </c>
      <c r="I84" s="3">
        <f t="shared" si="61"/>
        <v>-174.41383214459125</v>
      </c>
      <c r="J84" s="59">
        <f t="shared" si="55"/>
        <v>1.6412724259253872E-3</v>
      </c>
      <c r="K84" s="48" t="str">
        <f t="shared" si="56"/>
        <v>Belum</v>
      </c>
      <c r="L84" s="1">
        <f t="shared" si="57"/>
        <v>328.25448518507744</v>
      </c>
      <c r="M84" s="48" t="str">
        <f t="shared" si="62"/>
        <v>Tekan</v>
      </c>
      <c r="N84" s="3">
        <f t="shared" si="63"/>
        <v>426.10680739146204</v>
      </c>
      <c r="O84" s="59"/>
      <c r="P84" s="48"/>
      <c r="Q84" s="1"/>
      <c r="R84" s="48"/>
      <c r="S84" s="3"/>
      <c r="T84" s="3">
        <f t="shared" si="64"/>
        <v>4633.8879888832334</v>
      </c>
      <c r="U84" s="60">
        <f t="shared" si="65"/>
        <v>-325.82108012491443</v>
      </c>
      <c r="V84" s="1">
        <f t="shared" si="66"/>
        <v>0.65</v>
      </c>
      <c r="W84" s="3">
        <f t="shared" si="58"/>
        <v>3012.0271927741019</v>
      </c>
      <c r="X84" s="3">
        <f t="shared" si="67"/>
        <v>-211.78370208119438</v>
      </c>
    </row>
    <row r="85" spans="1:24" x14ac:dyDescent="0.25">
      <c r="A85" s="1">
        <v>14</v>
      </c>
      <c r="B85" s="3">
        <f t="shared" si="68"/>
        <v>254.84545454545454</v>
      </c>
      <c r="C85" s="3">
        <f t="shared" si="51"/>
        <v>216.61863636363637</v>
      </c>
      <c r="D85" s="1">
        <f t="shared" si="52"/>
        <v>4286.449576363636</v>
      </c>
      <c r="E85" s="59">
        <f t="shared" si="59"/>
        <v>4.0206185567010308E-4</v>
      </c>
      <c r="F85" s="48" t="str">
        <f t="shared" si="53"/>
        <v>Belum</v>
      </c>
      <c r="G85" s="1">
        <f t="shared" si="54"/>
        <v>80.412371134020617</v>
      </c>
      <c r="H85" s="48" t="str">
        <f t="shared" si="60"/>
        <v>Tarik</v>
      </c>
      <c r="I85" s="3">
        <f t="shared" si="61"/>
        <v>-213.97160850728173</v>
      </c>
      <c r="J85" s="59">
        <f t="shared" si="55"/>
        <v>1.6109228409374665E-3</v>
      </c>
      <c r="K85" s="48" t="str">
        <f t="shared" si="56"/>
        <v>Belum</v>
      </c>
      <c r="L85" s="1">
        <f t="shared" si="57"/>
        <v>322.18456818749331</v>
      </c>
      <c r="M85" s="48" t="str">
        <f t="shared" si="62"/>
        <v>Tekan</v>
      </c>
      <c r="N85" s="3">
        <f t="shared" si="63"/>
        <v>417.56380281337749</v>
      </c>
      <c r="O85" s="59"/>
      <c r="P85" s="48"/>
      <c r="Q85" s="1"/>
      <c r="R85" s="48"/>
      <c r="S85" s="3"/>
      <c r="T85" s="3">
        <f t="shared" si="64"/>
        <v>4490.0417706697317</v>
      </c>
      <c r="U85" s="60">
        <f t="shared" si="65"/>
        <v>-334.0601449571401</v>
      </c>
      <c r="V85" s="1">
        <f t="shared" si="66"/>
        <v>0.65</v>
      </c>
      <c r="W85" s="3">
        <f t="shared" si="58"/>
        <v>2918.5271509353256</v>
      </c>
      <c r="X85" s="3">
        <f t="shared" si="67"/>
        <v>-217.13909422214107</v>
      </c>
    </row>
    <row r="86" spans="1:24" x14ac:dyDescent="0.25">
      <c r="A86" s="1">
        <v>13</v>
      </c>
      <c r="B86" s="3">
        <f t="shared" si="68"/>
        <v>249.15303030303031</v>
      </c>
      <c r="C86" s="3">
        <f t="shared" si="51"/>
        <v>211.78007575757576</v>
      </c>
      <c r="D86" s="1">
        <f t="shared" si="52"/>
        <v>4190.7041390909089</v>
      </c>
      <c r="E86" s="59">
        <f t="shared" si="59"/>
        <v>4.7978910369068537E-4</v>
      </c>
      <c r="F86" s="48" t="str">
        <f t="shared" si="53"/>
        <v>Belum</v>
      </c>
      <c r="G86" s="1">
        <f t="shared" si="54"/>
        <v>95.957820738137073</v>
      </c>
      <c r="H86" s="48" t="str">
        <f t="shared" si="60"/>
        <v>Tarik</v>
      </c>
      <c r="I86" s="3">
        <f t="shared" si="61"/>
        <v>-255.33694582854883</v>
      </c>
      <c r="J86" s="59">
        <f t="shared" si="55"/>
        <v>1.5791864559325231E-3</v>
      </c>
      <c r="K86" s="48" t="str">
        <f t="shared" si="56"/>
        <v>Belum</v>
      </c>
      <c r="L86" s="1">
        <f t="shared" si="57"/>
        <v>315.83729118650461</v>
      </c>
      <c r="M86" s="48" t="str">
        <f t="shared" si="62"/>
        <v>Tekan</v>
      </c>
      <c r="N86" s="3">
        <f t="shared" si="63"/>
        <v>408.63043247249823</v>
      </c>
      <c r="O86" s="59"/>
      <c r="P86" s="48"/>
      <c r="Q86" s="1"/>
      <c r="R86" s="48"/>
      <c r="S86" s="3"/>
      <c r="T86" s="3">
        <f t="shared" si="64"/>
        <v>4343.997625734858</v>
      </c>
      <c r="U86" s="60">
        <f t="shared" si="65"/>
        <v>-342.01975078916649</v>
      </c>
      <c r="V86" s="1">
        <f t="shared" si="66"/>
        <v>0.65</v>
      </c>
      <c r="W86" s="3">
        <f t="shared" si="58"/>
        <v>2823.5984567276578</v>
      </c>
      <c r="X86" s="3">
        <f t="shared" si="67"/>
        <v>-222.31283801295822</v>
      </c>
    </row>
    <row r="87" spans="1:24" x14ac:dyDescent="0.25">
      <c r="A87" s="1">
        <v>12</v>
      </c>
      <c r="B87" s="3">
        <f t="shared" si="68"/>
        <v>243.46060606060604</v>
      </c>
      <c r="C87" s="3">
        <f t="shared" si="51"/>
        <v>206.94151515151512</v>
      </c>
      <c r="D87" s="1">
        <f t="shared" si="52"/>
        <v>4094.958701818181</v>
      </c>
      <c r="E87" s="59">
        <f t="shared" si="59"/>
        <v>5.6115107913669098E-4</v>
      </c>
      <c r="F87" s="48" t="str">
        <f t="shared" si="53"/>
        <v>Belum</v>
      </c>
      <c r="G87" s="1">
        <f t="shared" si="54"/>
        <v>112.2302158273382</v>
      </c>
      <c r="H87" s="48" t="str">
        <f t="shared" si="60"/>
        <v>Tarik</v>
      </c>
      <c r="I87" s="3">
        <f t="shared" si="61"/>
        <v>-298.63663345620637</v>
      </c>
      <c r="J87" s="59">
        <f t="shared" si="55"/>
        <v>1.545965995369794E-3</v>
      </c>
      <c r="K87" s="48" t="str">
        <f t="shared" si="56"/>
        <v>Belum</v>
      </c>
      <c r="L87" s="1">
        <f t="shared" si="57"/>
        <v>309.19319907395879</v>
      </c>
      <c r="M87" s="48" t="str">
        <f t="shared" si="62"/>
        <v>Tekan</v>
      </c>
      <c r="N87" s="3">
        <f t="shared" si="63"/>
        <v>399.27931459769275</v>
      </c>
      <c r="O87" s="59"/>
      <c r="P87" s="48"/>
      <c r="Q87" s="1"/>
      <c r="R87" s="48"/>
      <c r="S87" s="3"/>
      <c r="T87" s="3">
        <f t="shared" si="64"/>
        <v>4195.6013829596677</v>
      </c>
      <c r="U87" s="60">
        <f t="shared" si="65"/>
        <v>-349.71279084568977</v>
      </c>
      <c r="V87" s="1">
        <f t="shared" si="66"/>
        <v>0.65</v>
      </c>
      <c r="W87" s="3">
        <f t="shared" si="58"/>
        <v>2727.1408989237843</v>
      </c>
      <c r="X87" s="3">
        <f t="shared" si="67"/>
        <v>-227.31331404969836</v>
      </c>
    </row>
    <row r="88" spans="1:24" x14ac:dyDescent="0.25">
      <c r="A88" s="1">
        <v>11</v>
      </c>
      <c r="B88" s="3">
        <f t="shared" si="68"/>
        <v>237.76818181818183</v>
      </c>
      <c r="C88" s="3">
        <f t="shared" si="51"/>
        <v>202.10295454545454</v>
      </c>
      <c r="D88" s="1">
        <f t="shared" si="52"/>
        <v>3999.213264545454</v>
      </c>
      <c r="E88" s="59">
        <f t="shared" si="59"/>
        <v>6.4640883977900535E-4</v>
      </c>
      <c r="F88" s="48" t="str">
        <f t="shared" si="53"/>
        <v>Belum</v>
      </c>
      <c r="G88" s="1">
        <f t="shared" si="54"/>
        <v>129.28176795580106</v>
      </c>
      <c r="H88" s="48" t="str">
        <f t="shared" si="60"/>
        <v>Tarik</v>
      </c>
      <c r="I88" s="3">
        <f t="shared" si="61"/>
        <v>-344.00960262772907</v>
      </c>
      <c r="J88" s="59">
        <f t="shared" si="55"/>
        <v>1.511154868187119E-3</v>
      </c>
      <c r="K88" s="48" t="str">
        <f t="shared" si="56"/>
        <v>Belum</v>
      </c>
      <c r="L88" s="1">
        <f t="shared" si="57"/>
        <v>302.2309736374238</v>
      </c>
      <c r="M88" s="48" t="str">
        <f t="shared" si="62"/>
        <v>Tekan</v>
      </c>
      <c r="N88" s="3">
        <f t="shared" si="63"/>
        <v>389.48044522243646</v>
      </c>
      <c r="O88" s="59"/>
      <c r="P88" s="48"/>
      <c r="Q88" s="1"/>
      <c r="R88" s="48"/>
      <c r="S88" s="3"/>
      <c r="T88" s="3">
        <f t="shared" si="64"/>
        <v>4044.6841071401614</v>
      </c>
      <c r="U88" s="60">
        <f t="shared" si="65"/>
        <v>-357.15339306169011</v>
      </c>
      <c r="V88" s="1">
        <f t="shared" si="66"/>
        <v>0.65</v>
      </c>
      <c r="W88" s="3">
        <f t="shared" si="58"/>
        <v>2629.044669641105</v>
      </c>
      <c r="X88" s="3">
        <f t="shared" si="67"/>
        <v>-232.14970549009857</v>
      </c>
    </row>
    <row r="89" spans="1:24" x14ac:dyDescent="0.25">
      <c r="A89" s="1">
        <v>10</v>
      </c>
      <c r="B89" s="3">
        <f t="shared" si="68"/>
        <v>232.07575757575756</v>
      </c>
      <c r="C89" s="3">
        <f t="shared" si="51"/>
        <v>197.26439393939393</v>
      </c>
      <c r="D89" s="1">
        <f t="shared" si="52"/>
        <v>3903.4678272727269</v>
      </c>
      <c r="E89" s="59">
        <f t="shared" si="59"/>
        <v>7.3584905660377376E-4</v>
      </c>
      <c r="F89" s="48" t="str">
        <f t="shared" si="53"/>
        <v>Belum</v>
      </c>
      <c r="G89" s="1">
        <f t="shared" si="54"/>
        <v>147.16981132075475</v>
      </c>
      <c r="H89" s="48" t="str">
        <f t="shared" si="60"/>
        <v>Tarik</v>
      </c>
      <c r="I89" s="3">
        <f t="shared" si="61"/>
        <v>-391.6084155699308</v>
      </c>
      <c r="J89" s="59">
        <f t="shared" si="55"/>
        <v>1.4746360253313313E-3</v>
      </c>
      <c r="K89" s="48" t="str">
        <f t="shared" si="56"/>
        <v>Belum</v>
      </c>
      <c r="L89" s="1">
        <f t="shared" si="57"/>
        <v>294.92720506626625</v>
      </c>
      <c r="M89" s="48" t="str">
        <f t="shared" si="62"/>
        <v>Tekan</v>
      </c>
      <c r="N89" s="3">
        <f t="shared" si="63"/>
        <v>379.2008765948089</v>
      </c>
      <c r="O89" s="59"/>
      <c r="P89" s="48"/>
      <c r="Q89" s="1"/>
      <c r="R89" s="48"/>
      <c r="S89" s="3"/>
      <c r="T89" s="3">
        <f t="shared" si="64"/>
        <v>3891.060288297605</v>
      </c>
      <c r="U89" s="60">
        <f t="shared" si="65"/>
        <v>-364.35707150916483</v>
      </c>
      <c r="V89" s="1">
        <f t="shared" si="66"/>
        <v>0.65</v>
      </c>
      <c r="W89" s="3">
        <f t="shared" si="58"/>
        <v>2529.1891873934433</v>
      </c>
      <c r="X89" s="3">
        <f t="shared" si="67"/>
        <v>-236.83209648095715</v>
      </c>
    </row>
    <row r="90" spans="1:24" x14ac:dyDescent="0.25">
      <c r="A90" s="1">
        <v>9</v>
      </c>
      <c r="B90" s="3">
        <f t="shared" si="68"/>
        <v>226.38333333333333</v>
      </c>
      <c r="C90" s="3">
        <f t="shared" si="51"/>
        <v>192.42583333333332</v>
      </c>
      <c r="D90" s="1">
        <f t="shared" si="52"/>
        <v>3807.7223899999995</v>
      </c>
      <c r="E90" s="59">
        <f t="shared" si="59"/>
        <v>8.2978723404255337E-4</v>
      </c>
      <c r="F90" s="48" t="str">
        <f t="shared" si="53"/>
        <v>Belum</v>
      </c>
      <c r="G90" s="1">
        <f t="shared" si="54"/>
        <v>165.95744680851067</v>
      </c>
      <c r="H90" s="48" t="str">
        <f t="shared" si="60"/>
        <v>Tarik</v>
      </c>
      <c r="I90" s="3">
        <f t="shared" si="61"/>
        <v>-441.60097925970916</v>
      </c>
      <c r="J90" s="59">
        <f t="shared" si="55"/>
        <v>1.4362806449238017E-3</v>
      </c>
      <c r="K90" s="48" t="str">
        <f t="shared" si="56"/>
        <v>Belum</v>
      </c>
      <c r="L90" s="1">
        <f t="shared" si="57"/>
        <v>287.25612898476032</v>
      </c>
      <c r="M90" s="48" t="str">
        <f t="shared" si="62"/>
        <v>Tekan</v>
      </c>
      <c r="N90" s="3">
        <f t="shared" si="63"/>
        <v>368.40434706908019</v>
      </c>
      <c r="O90" s="59"/>
      <c r="P90" s="48"/>
      <c r="Q90" s="1"/>
      <c r="R90" s="48"/>
      <c r="S90" s="3"/>
      <c r="T90" s="3">
        <f t="shared" si="64"/>
        <v>3734.5257578093706</v>
      </c>
      <c r="U90" s="60">
        <f t="shared" si="65"/>
        <v>-371.34090066967366</v>
      </c>
      <c r="V90" s="1">
        <f t="shared" si="66"/>
        <v>0.65</v>
      </c>
      <c r="W90" s="3">
        <f t="shared" si="58"/>
        <v>2427.4417425760907</v>
      </c>
      <c r="X90" s="3">
        <f t="shared" si="67"/>
        <v>-241.3715854352879</v>
      </c>
    </row>
    <row r="91" spans="1:24" x14ac:dyDescent="0.25">
      <c r="A91" s="1">
        <v>8</v>
      </c>
      <c r="B91" s="3">
        <f t="shared" si="68"/>
        <v>220.69090909090909</v>
      </c>
      <c r="C91" s="3">
        <f t="shared" si="51"/>
        <v>187.58727272727273</v>
      </c>
      <c r="D91" s="1">
        <f t="shared" si="52"/>
        <v>3711.9769527272724</v>
      </c>
      <c r="E91" s="59">
        <f t="shared" si="59"/>
        <v>9.2857142857142867E-4</v>
      </c>
      <c r="F91" s="48" t="str">
        <f t="shared" si="53"/>
        <v>Belum</v>
      </c>
      <c r="G91" s="1">
        <f t="shared" si="54"/>
        <v>185.71428571428572</v>
      </c>
      <c r="H91" s="48" t="str">
        <f t="shared" si="60"/>
        <v>Tarik</v>
      </c>
      <c r="I91" s="3">
        <f t="shared" si="61"/>
        <v>-494.17252440967451</v>
      </c>
      <c r="J91" s="59">
        <f t="shared" si="55"/>
        <v>1.3959466139396935E-3</v>
      </c>
      <c r="K91" s="48" t="str">
        <f t="shared" si="56"/>
        <v>Belum</v>
      </c>
      <c r="L91" s="1">
        <f t="shared" si="57"/>
        <v>279.18932278793869</v>
      </c>
      <c r="M91" s="48" t="str">
        <f t="shared" si="62"/>
        <v>Tekan</v>
      </c>
      <c r="N91" s="3">
        <f t="shared" si="63"/>
        <v>357.05085371861151</v>
      </c>
      <c r="O91" s="59"/>
      <c r="P91" s="48"/>
      <c r="Q91" s="1"/>
      <c r="R91" s="48"/>
      <c r="S91" s="3"/>
      <c r="T91" s="3">
        <f t="shared" si="64"/>
        <v>3574.8552820362092</v>
      </c>
      <c r="U91" s="60">
        <f t="shared" si="65"/>
        <v>-378.12371667763563</v>
      </c>
      <c r="V91" s="1">
        <f t="shared" si="66"/>
        <v>0.65</v>
      </c>
      <c r="W91" s="3">
        <f t="shared" si="58"/>
        <v>2323.6559333235359</v>
      </c>
      <c r="X91" s="3">
        <f t="shared" si="67"/>
        <v>-245.78041584046318</v>
      </c>
    </row>
    <row r="92" spans="1:24" x14ac:dyDescent="0.25">
      <c r="A92" s="1">
        <v>7</v>
      </c>
      <c r="B92" s="3">
        <f t="shared" si="68"/>
        <v>214.99848484848485</v>
      </c>
      <c r="C92" s="3">
        <f t="shared" si="51"/>
        <v>182.74871212121212</v>
      </c>
      <c r="D92" s="1">
        <f t="shared" si="52"/>
        <v>3616.2315154545458</v>
      </c>
      <c r="E92" s="59">
        <f t="shared" si="59"/>
        <v>1.0325865580448064E-3</v>
      </c>
      <c r="F92" s="48" t="str">
        <f t="shared" si="53"/>
        <v>Belum</v>
      </c>
      <c r="G92" s="1">
        <f t="shared" si="54"/>
        <v>206.51731160896128</v>
      </c>
      <c r="H92" s="48" t="str">
        <f t="shared" si="60"/>
        <v>Tarik</v>
      </c>
      <c r="I92" s="3">
        <f t="shared" si="61"/>
        <v>-549.52789883438334</v>
      </c>
      <c r="J92" s="59">
        <f t="shared" si="55"/>
        <v>1.3534767686875877E-3</v>
      </c>
      <c r="K92" s="48" t="str">
        <f t="shared" si="56"/>
        <v>Belum</v>
      </c>
      <c r="L92" s="1">
        <f t="shared" si="57"/>
        <v>270.69535373751756</v>
      </c>
      <c r="M92" s="48" t="str">
        <f t="shared" si="62"/>
        <v>Tekan</v>
      </c>
      <c r="N92" s="3">
        <f t="shared" si="63"/>
        <v>345.09615705426882</v>
      </c>
      <c r="O92" s="59"/>
      <c r="P92" s="48"/>
      <c r="Q92" s="1"/>
      <c r="R92" s="48"/>
      <c r="S92" s="3"/>
      <c r="T92" s="3">
        <f t="shared" si="64"/>
        <v>3411.799773674431</v>
      </c>
      <c r="U92" s="60">
        <f t="shared" si="65"/>
        <v>-384.7263505330298</v>
      </c>
      <c r="V92" s="1">
        <f t="shared" si="66"/>
        <v>0.65</v>
      </c>
      <c r="W92" s="3">
        <f t="shared" si="58"/>
        <v>2217.6698528883803</v>
      </c>
      <c r="X92" s="3">
        <f t="shared" si="67"/>
        <v>-250.07212784646939</v>
      </c>
    </row>
    <row r="93" spans="1:24" x14ac:dyDescent="0.25">
      <c r="A93" s="1">
        <v>6</v>
      </c>
      <c r="B93" s="3">
        <f t="shared" si="68"/>
        <v>209.30606060606061</v>
      </c>
      <c r="C93" s="3">
        <f t="shared" si="51"/>
        <v>177.91015151515151</v>
      </c>
      <c r="D93" s="1">
        <f t="shared" si="52"/>
        <v>3520.4860781818179</v>
      </c>
      <c r="E93" s="59">
        <f t="shared" si="59"/>
        <v>1.1422594142259412E-3</v>
      </c>
      <c r="F93" s="48" t="str">
        <f t="shared" si="53"/>
        <v>Belum</v>
      </c>
      <c r="G93" s="1">
        <f t="shared" si="54"/>
        <v>228.45188284518824</v>
      </c>
      <c r="H93" s="48" t="str">
        <f t="shared" si="60"/>
        <v>Tarik</v>
      </c>
      <c r="I93" s="3">
        <f t="shared" si="61"/>
        <v>-607.89423504788397</v>
      </c>
      <c r="J93" s="59">
        <f t="shared" si="55"/>
        <v>1.3086968481707229E-3</v>
      </c>
      <c r="K93" s="48" t="str">
        <f t="shared" si="56"/>
        <v>Belum</v>
      </c>
      <c r="L93" s="1">
        <f t="shared" si="57"/>
        <v>261.73936963414457</v>
      </c>
      <c r="M93" s="48" t="str">
        <f t="shared" si="62"/>
        <v>Tekan</v>
      </c>
      <c r="N93" s="3">
        <f t="shared" si="63"/>
        <v>332.49120492282788</v>
      </c>
      <c r="O93" s="59"/>
      <c r="P93" s="48"/>
      <c r="Q93" s="1"/>
      <c r="R93" s="48"/>
      <c r="S93" s="3"/>
      <c r="T93" s="3">
        <f t="shared" si="64"/>
        <v>3245.083048056762</v>
      </c>
      <c r="U93" s="60">
        <f t="shared" si="65"/>
        <v>-391.17189936972375</v>
      </c>
      <c r="V93" s="1">
        <f t="shared" si="66"/>
        <v>0.65</v>
      </c>
      <c r="W93" s="3">
        <f t="shared" si="58"/>
        <v>2109.3039812368952</v>
      </c>
      <c r="X93" s="3">
        <f t="shared" si="67"/>
        <v>-254.26173459032046</v>
      </c>
    </row>
    <row r="94" spans="1:24" x14ac:dyDescent="0.25">
      <c r="A94" s="1">
        <v>5</v>
      </c>
      <c r="B94" s="3">
        <f t="shared" si="68"/>
        <v>203.61363636363637</v>
      </c>
      <c r="C94" s="3">
        <f t="shared" si="51"/>
        <v>173.0715909090909</v>
      </c>
      <c r="D94" s="1">
        <f t="shared" si="52"/>
        <v>3424.7406409090913</v>
      </c>
      <c r="E94" s="59">
        <f t="shared" si="59"/>
        <v>1.258064516129032E-3</v>
      </c>
      <c r="F94" s="48" t="str">
        <f t="shared" si="53"/>
        <v>Belum</v>
      </c>
      <c r="G94" s="1">
        <f t="shared" si="54"/>
        <v>251.61290322580641</v>
      </c>
      <c r="H94" s="48" t="str">
        <f t="shared" si="60"/>
        <v>Tarik</v>
      </c>
      <c r="I94" s="3">
        <f t="shared" si="61"/>
        <v>-669.52406532923635</v>
      </c>
      <c r="J94" s="59">
        <f t="shared" si="55"/>
        <v>1.2614131041410873E-3</v>
      </c>
      <c r="K94" s="48" t="str">
        <f t="shared" si="56"/>
        <v>Belum</v>
      </c>
      <c r="L94" s="1">
        <f t="shared" si="57"/>
        <v>252.28262082821746</v>
      </c>
      <c r="M94" s="48" t="str">
        <f t="shared" si="62"/>
        <v>Tekan</v>
      </c>
      <c r="N94" s="3">
        <f t="shared" si="63"/>
        <v>319.18145976898387</v>
      </c>
      <c r="O94" s="59"/>
      <c r="P94" s="48"/>
      <c r="Q94" s="1"/>
      <c r="R94" s="48"/>
      <c r="S94" s="3"/>
      <c r="T94" s="3">
        <f t="shared" si="64"/>
        <v>3074.3980353488391</v>
      </c>
      <c r="U94" s="60">
        <f t="shared" si="65"/>
        <v>-397.486043226878</v>
      </c>
      <c r="V94" s="1">
        <f t="shared" si="66"/>
        <v>0.65</v>
      </c>
      <c r="W94" s="3">
        <f t="shared" si="58"/>
        <v>1998.3587229767454</v>
      </c>
      <c r="X94" s="3">
        <f t="shared" si="67"/>
        <v>-258.36592809747071</v>
      </c>
    </row>
    <row r="95" spans="1:24" x14ac:dyDescent="0.25">
      <c r="A95" s="1">
        <v>4</v>
      </c>
      <c r="B95" s="3">
        <f t="shared" si="68"/>
        <v>197.92121212121214</v>
      </c>
      <c r="C95" s="3">
        <f t="shared" si="51"/>
        <v>168.23303030303032</v>
      </c>
      <c r="D95" s="1">
        <f t="shared" si="52"/>
        <v>3328.9952036363643</v>
      </c>
      <c r="E95" s="59">
        <f t="shared" si="59"/>
        <v>1.3805309734513272E-3</v>
      </c>
      <c r="F95" s="48" t="str">
        <f t="shared" si="53"/>
        <v>Belum</v>
      </c>
      <c r="G95" s="1">
        <f t="shared" si="54"/>
        <v>276.10619469026545</v>
      </c>
      <c r="H95" s="48" t="str">
        <f t="shared" si="60"/>
        <v>Tarik</v>
      </c>
      <c r="I95" s="3">
        <f t="shared" si="61"/>
        <v>-734.69897434358677</v>
      </c>
      <c r="J95" s="59">
        <f t="shared" si="55"/>
        <v>1.211409498729216E-3</v>
      </c>
      <c r="K95" s="48" t="str">
        <f t="shared" si="56"/>
        <v>Belum</v>
      </c>
      <c r="L95" s="1">
        <f t="shared" si="57"/>
        <v>242.28189974584319</v>
      </c>
      <c r="M95" s="48" t="str">
        <f t="shared" si="62"/>
        <v>Tekan</v>
      </c>
      <c r="N95" s="3">
        <f t="shared" si="63"/>
        <v>305.10610980540542</v>
      </c>
      <c r="O95" s="59"/>
      <c r="P95" s="48"/>
      <c r="Q95" s="1"/>
      <c r="R95" s="48"/>
      <c r="S95" s="3"/>
      <c r="T95" s="3">
        <f t="shared" si="64"/>
        <v>2899.4023390981833</v>
      </c>
      <c r="U95" s="60">
        <f t="shared" si="65"/>
        <v>-403.69741648444125</v>
      </c>
      <c r="V95" s="1">
        <f t="shared" si="66"/>
        <v>0.65</v>
      </c>
      <c r="W95" s="3">
        <f t="shared" si="58"/>
        <v>1884.6115204138193</v>
      </c>
      <c r="X95" s="3">
        <f t="shared" si="67"/>
        <v>-262.40332071488683</v>
      </c>
    </row>
    <row r="96" spans="1:24" x14ac:dyDescent="0.25">
      <c r="A96" s="1">
        <v>3</v>
      </c>
      <c r="B96" s="3">
        <f t="shared" si="68"/>
        <v>192.22878787878787</v>
      </c>
      <c r="C96" s="3">
        <f t="shared" si="51"/>
        <v>163.39446969696968</v>
      </c>
      <c r="D96" s="1">
        <f t="shared" si="52"/>
        <v>3233.2497663636359</v>
      </c>
      <c r="E96" s="59">
        <f t="shared" si="59"/>
        <v>1.5102505694760823E-3</v>
      </c>
      <c r="F96" s="48" t="str">
        <f t="shared" si="53"/>
        <v>Belum</v>
      </c>
      <c r="G96" s="1">
        <f t="shared" si="54"/>
        <v>302.05011389521644</v>
      </c>
      <c r="H96" s="48" t="str">
        <f t="shared" si="60"/>
        <v>Tarik</v>
      </c>
      <c r="I96" s="3">
        <f t="shared" si="61"/>
        <v>-803.733900748309</v>
      </c>
      <c r="J96" s="59">
        <f t="shared" si="55"/>
        <v>1.1584444041585547E-3</v>
      </c>
      <c r="K96" s="48" t="str">
        <f t="shared" si="56"/>
        <v>Belum</v>
      </c>
      <c r="L96" s="1">
        <f t="shared" si="57"/>
        <v>231.68888083171095</v>
      </c>
      <c r="M96" s="48" t="str">
        <f t="shared" si="62"/>
        <v>Tekan</v>
      </c>
      <c r="N96" s="3">
        <f t="shared" si="63"/>
        <v>290.1971400262164</v>
      </c>
      <c r="O96" s="59"/>
      <c r="P96" s="48"/>
      <c r="Q96" s="1"/>
      <c r="R96" s="48"/>
      <c r="S96" s="3"/>
      <c r="T96" s="3">
        <f t="shared" si="64"/>
        <v>2719.7130056415435</v>
      </c>
      <c r="U96" s="60">
        <f t="shared" si="65"/>
        <v>-409.83804529401914</v>
      </c>
      <c r="V96" s="1">
        <f t="shared" si="66"/>
        <v>0.65</v>
      </c>
      <c r="W96" s="3">
        <f t="shared" si="58"/>
        <v>1767.8134536670034</v>
      </c>
      <c r="X96" s="3">
        <f t="shared" si="67"/>
        <v>-266.39472944111247</v>
      </c>
    </row>
    <row r="97" spans="1:24" x14ac:dyDescent="0.25">
      <c r="A97" s="1">
        <v>2</v>
      </c>
      <c r="B97" s="3">
        <f t="shared" si="68"/>
        <v>186.53636363636363</v>
      </c>
      <c r="C97" s="3">
        <f t="shared" si="51"/>
        <v>158.5559090909091</v>
      </c>
      <c r="D97" s="1">
        <f t="shared" si="52"/>
        <v>3137.5043290909093</v>
      </c>
      <c r="E97" s="59">
        <f t="shared" si="59"/>
        <v>1.647887323943662E-3</v>
      </c>
      <c r="F97" s="48" t="str">
        <f t="shared" si="53"/>
        <v>Belum</v>
      </c>
      <c r="G97" s="1">
        <f t="shared" si="54"/>
        <v>329.57746478873241</v>
      </c>
      <c r="H97" s="48" t="str">
        <f t="shared" si="60"/>
        <v>Tarik</v>
      </c>
      <c r="I97" s="3">
        <f t="shared" si="61"/>
        <v>-876.98222641716882</v>
      </c>
      <c r="J97" s="59">
        <f t="shared" si="55"/>
        <v>1.1022466981821725E-3</v>
      </c>
      <c r="K97" s="48" t="str">
        <f t="shared" si="56"/>
        <v>Belum</v>
      </c>
      <c r="L97" s="1">
        <f t="shared" si="57"/>
        <v>220.4493396364345</v>
      </c>
      <c r="M97" s="48" t="str">
        <f t="shared" si="62"/>
        <v>Tekan</v>
      </c>
      <c r="N97" s="3">
        <f t="shared" si="63"/>
        <v>274.37823312435387</v>
      </c>
      <c r="O97" s="59"/>
      <c r="P97" s="48"/>
      <c r="Q97" s="1"/>
      <c r="R97" s="48"/>
      <c r="S97" s="3"/>
      <c r="T97" s="3">
        <f t="shared" si="64"/>
        <v>2534.9003357980941</v>
      </c>
      <c r="U97" s="60">
        <f t="shared" si="65"/>
        <v>-415.94386510271852</v>
      </c>
      <c r="V97" s="1">
        <f t="shared" si="66"/>
        <v>0.65</v>
      </c>
      <c r="W97" s="3">
        <f t="shared" si="58"/>
        <v>1647.6852182687612</v>
      </c>
      <c r="X97" s="3">
        <f t="shared" si="67"/>
        <v>-270.36351231676707</v>
      </c>
    </row>
    <row r="98" spans="1:24" x14ac:dyDescent="0.25">
      <c r="A98" s="1">
        <v>1</v>
      </c>
      <c r="B98" s="3">
        <f t="shared" si="68"/>
        <v>180.84393939393939</v>
      </c>
      <c r="C98" s="3">
        <f t="shared" si="51"/>
        <v>153.71734848484849</v>
      </c>
      <c r="D98" s="1">
        <f t="shared" si="52"/>
        <v>3041.7588918181823</v>
      </c>
      <c r="E98" s="59">
        <f t="shared" si="59"/>
        <v>1.7941888619854723E-3</v>
      </c>
      <c r="F98" s="48" t="str">
        <f t="shared" si="53"/>
        <v>Belum</v>
      </c>
      <c r="G98" s="1">
        <f t="shared" si="54"/>
        <v>358.83777239709445</v>
      </c>
      <c r="H98" s="48" t="str">
        <f t="shared" si="60"/>
        <v>Tarik</v>
      </c>
      <c r="I98" s="3">
        <f t="shared" si="61"/>
        <v>-954.84182682547271</v>
      </c>
      <c r="J98" s="59">
        <f t="shared" si="55"/>
        <v>1.0425111220958973E-3</v>
      </c>
      <c r="K98" s="48" t="str">
        <f t="shared" si="56"/>
        <v>Belum</v>
      </c>
      <c r="L98" s="1">
        <f t="shared" si="57"/>
        <v>208.50222441917947</v>
      </c>
      <c r="M98" s="48" t="str">
        <f t="shared" si="62"/>
        <v>Tekan</v>
      </c>
      <c r="N98" s="3">
        <f t="shared" si="63"/>
        <v>257.56346283399643</v>
      </c>
      <c r="O98" s="59"/>
      <c r="P98" s="48"/>
      <c r="Q98" s="1"/>
      <c r="R98" s="48"/>
      <c r="S98" s="3"/>
      <c r="T98" s="3">
        <f t="shared" si="64"/>
        <v>2344.4805278267058</v>
      </c>
      <c r="U98" s="60">
        <f t="shared" si="65"/>
        <v>-422.05533591757256</v>
      </c>
      <c r="V98" s="1">
        <f t="shared" si="66"/>
        <v>0.65</v>
      </c>
      <c r="W98" s="3">
        <f t="shared" si="58"/>
        <v>1523.9123430873587</v>
      </c>
      <c r="X98" s="3">
        <f t="shared" si="67"/>
        <v>-274.33596834642219</v>
      </c>
    </row>
    <row r="99" spans="1:24" x14ac:dyDescent="0.25">
      <c r="A99" s="80" t="s">
        <v>211</v>
      </c>
      <c r="B99" s="3">
        <f>(600/(600+$G$6))*$Q$19</f>
        <v>175.15151515151516</v>
      </c>
      <c r="C99" s="3">
        <f t="shared" si="51"/>
        <v>148.87878787878788</v>
      </c>
      <c r="D99" s="1">
        <f t="shared" si="52"/>
        <v>2946.0134545454548</v>
      </c>
      <c r="E99" s="59">
        <f t="shared" si="59"/>
        <v>1.9499999999999997E-3</v>
      </c>
      <c r="F99" s="48" t="str">
        <f t="shared" si="53"/>
        <v>Sudah</v>
      </c>
      <c r="G99" s="1">
        <f t="shared" si="54"/>
        <v>390</v>
      </c>
      <c r="H99" s="48" t="str">
        <f t="shared" si="60"/>
        <v>Tarik</v>
      </c>
      <c r="I99" s="3">
        <f t="shared" si="61"/>
        <v>-1037.7623012603165</v>
      </c>
      <c r="J99" s="59">
        <f t="shared" si="55"/>
        <v>9.7889273356401387E-4</v>
      </c>
      <c r="K99" s="48" t="str">
        <f t="shared" si="56"/>
        <v>Belum</v>
      </c>
      <c r="L99" s="1">
        <f t="shared" si="57"/>
        <v>195.77854671280278</v>
      </c>
      <c r="M99" s="48" t="str">
        <f t="shared" si="62"/>
        <v>Tekan</v>
      </c>
      <c r="N99" s="3">
        <f t="shared" si="63"/>
        <v>239.65573247476564</v>
      </c>
      <c r="O99" s="59"/>
      <c r="P99" s="48"/>
      <c r="Q99" s="1"/>
      <c r="R99" s="48"/>
      <c r="S99" s="3"/>
      <c r="T99" s="3">
        <f t="shared" si="64"/>
        <v>2147.9068857599041</v>
      </c>
      <c r="U99" s="60">
        <f t="shared" si="65"/>
        <v>-428.21817754652841</v>
      </c>
      <c r="V99" s="1">
        <f t="shared" si="66"/>
        <v>0.65</v>
      </c>
      <c r="W99" s="3">
        <f t="shared" si="58"/>
        <v>1396.1394757439377</v>
      </c>
      <c r="X99" s="3">
        <f t="shared" si="67"/>
        <v>-278.34181540524349</v>
      </c>
    </row>
    <row r="100" spans="1:24" x14ac:dyDescent="0.25">
      <c r="A100" s="1">
        <v>-1</v>
      </c>
      <c r="B100" s="3">
        <f>$B$99+(A100/20*($B$99))</f>
        <v>166.39393939393941</v>
      </c>
      <c r="C100" s="3">
        <f t="shared" si="51"/>
        <v>141.43484848484849</v>
      </c>
      <c r="D100" s="1">
        <f t="shared" si="52"/>
        <v>2798.7127818181816</v>
      </c>
      <c r="E100" s="59">
        <f t="shared" si="59"/>
        <v>2.2105263157894731E-3</v>
      </c>
      <c r="F100" s="48" t="str">
        <f t="shared" si="53"/>
        <v>Sudah</v>
      </c>
      <c r="G100" s="1">
        <f t="shared" si="54"/>
        <v>390</v>
      </c>
      <c r="H100" s="48" t="str">
        <f t="shared" si="60"/>
        <v>Tarik</v>
      </c>
      <c r="I100" s="3">
        <f t="shared" si="61"/>
        <v>-1037.7623012603165</v>
      </c>
      <c r="J100" s="59">
        <f t="shared" si="55"/>
        <v>8.7251866690948832E-4</v>
      </c>
      <c r="K100" s="48" t="str">
        <f t="shared" si="56"/>
        <v>Belum</v>
      </c>
      <c r="L100" s="1">
        <f t="shared" si="57"/>
        <v>174.50373338189766</v>
      </c>
      <c r="M100" s="48" t="str">
        <f t="shared" si="62"/>
        <v>Tekan</v>
      </c>
      <c r="N100" s="3">
        <f t="shared" si="63"/>
        <v>209.71284729920981</v>
      </c>
      <c r="O100" s="59"/>
      <c r="P100" s="48"/>
      <c r="Q100" s="1"/>
      <c r="R100" s="48"/>
      <c r="S100" s="3"/>
      <c r="T100" s="3">
        <f t="shared" si="64"/>
        <v>1970.663327857075</v>
      </c>
      <c r="U100" s="60">
        <f t="shared" si="65"/>
        <v>-422.11551233338116</v>
      </c>
      <c r="V100" s="1">
        <f t="shared" si="66"/>
        <v>0.66754385964912277</v>
      </c>
      <c r="W100" s="3">
        <f t="shared" si="58"/>
        <v>1315.5042039466964</v>
      </c>
      <c r="X100" s="3">
        <f t="shared" si="67"/>
        <v>-281.78061832079214</v>
      </c>
    </row>
    <row r="101" spans="1:24" x14ac:dyDescent="0.25">
      <c r="A101" s="1">
        <v>-2</v>
      </c>
      <c r="B101" s="3">
        <f t="shared" ref="B101:B119" si="69">$B$99+(A101/20*($B$99))</f>
        <v>157.63636363636363</v>
      </c>
      <c r="C101" s="3">
        <f t="shared" si="51"/>
        <v>133.99090909090907</v>
      </c>
      <c r="D101" s="1">
        <f t="shared" si="52"/>
        <v>2651.4121090909089</v>
      </c>
      <c r="E101" s="59">
        <f t="shared" si="59"/>
        <v>2.5000000000000005E-3</v>
      </c>
      <c r="F101" s="48" t="str">
        <f t="shared" si="53"/>
        <v>Sudah</v>
      </c>
      <c r="G101" s="1">
        <f t="shared" si="54"/>
        <v>390</v>
      </c>
      <c r="H101" s="48" t="str">
        <f t="shared" si="60"/>
        <v>Tarik</v>
      </c>
      <c r="I101" s="3">
        <f t="shared" si="61"/>
        <v>-1037.7623012603165</v>
      </c>
      <c r="J101" s="59">
        <f t="shared" si="55"/>
        <v>7.5432525951557073E-4</v>
      </c>
      <c r="K101" s="48" t="str">
        <f t="shared" si="56"/>
        <v>Belum</v>
      </c>
      <c r="L101" s="1">
        <f t="shared" si="57"/>
        <v>150.86505190311414</v>
      </c>
      <c r="M101" s="48" t="str">
        <f t="shared" si="62"/>
        <v>Tekan</v>
      </c>
      <c r="N101" s="3">
        <f t="shared" si="63"/>
        <v>176.44297488192547</v>
      </c>
      <c r="O101" s="59"/>
      <c r="P101" s="48"/>
      <c r="Q101" s="1"/>
      <c r="R101" s="48"/>
      <c r="S101" s="3"/>
      <c r="T101" s="3">
        <f t="shared" si="64"/>
        <v>1790.0927827125179</v>
      </c>
      <c r="U101" s="60">
        <f t="shared" si="65"/>
        <v>-414.72671156698715</v>
      </c>
      <c r="V101" s="1">
        <f t="shared" si="66"/>
        <v>0.69166666666666676</v>
      </c>
      <c r="W101" s="3">
        <f t="shared" si="58"/>
        <v>1238.1475080428249</v>
      </c>
      <c r="X101" s="3">
        <f t="shared" si="67"/>
        <v>-286.85264216716615</v>
      </c>
    </row>
    <row r="102" spans="1:24" x14ac:dyDescent="0.25">
      <c r="A102" s="1">
        <v>-3</v>
      </c>
      <c r="B102" s="3">
        <f t="shared" si="69"/>
        <v>148.87878787878788</v>
      </c>
      <c r="C102" s="3">
        <f t="shared" si="51"/>
        <v>126.5469696969697</v>
      </c>
      <c r="D102" s="1">
        <f t="shared" si="52"/>
        <v>2504.1114363636366</v>
      </c>
      <c r="E102" s="59">
        <f t="shared" si="59"/>
        <v>2.8235294117647061E-3</v>
      </c>
      <c r="F102" s="48" t="str">
        <f t="shared" si="53"/>
        <v>Sudah</v>
      </c>
      <c r="G102" s="1">
        <f t="shared" si="54"/>
        <v>390</v>
      </c>
      <c r="H102" s="48" t="str">
        <f t="shared" si="60"/>
        <v>Tarik</v>
      </c>
      <c r="I102" s="3">
        <f t="shared" si="61"/>
        <v>-1037.7623012603165</v>
      </c>
      <c r="J102" s="59">
        <f t="shared" si="55"/>
        <v>6.2222674536942799E-4</v>
      </c>
      <c r="K102" s="48" t="str">
        <f t="shared" si="56"/>
        <v>Belum</v>
      </c>
      <c r="L102" s="1">
        <f t="shared" si="57"/>
        <v>124.44534907388559</v>
      </c>
      <c r="M102" s="48" t="str">
        <f t="shared" si="62"/>
        <v>Tekan</v>
      </c>
      <c r="N102" s="3">
        <f t="shared" si="63"/>
        <v>139.25899982731369</v>
      </c>
      <c r="O102" s="59"/>
      <c r="P102" s="48"/>
      <c r="Q102" s="1"/>
      <c r="R102" s="48"/>
      <c r="S102" s="3"/>
      <c r="T102" s="3">
        <f t="shared" si="64"/>
        <v>1605.6081349306337</v>
      </c>
      <c r="U102" s="60">
        <f t="shared" si="65"/>
        <v>-406.01830966979713</v>
      </c>
      <c r="V102" s="1">
        <f t="shared" si="66"/>
        <v>0.71862745098039216</v>
      </c>
      <c r="W102" s="3">
        <f t="shared" si="58"/>
        <v>1153.8340812785827</v>
      </c>
      <c r="X102" s="3">
        <f t="shared" si="67"/>
        <v>-291.77590292937384</v>
      </c>
    </row>
    <row r="103" spans="1:24" x14ac:dyDescent="0.25">
      <c r="A103" s="1">
        <v>-4</v>
      </c>
      <c r="B103" s="3">
        <f t="shared" si="69"/>
        <v>140.12121212121212</v>
      </c>
      <c r="C103" s="3">
        <f t="shared" si="51"/>
        <v>119.10303030303031</v>
      </c>
      <c r="D103" s="1">
        <f t="shared" si="52"/>
        <v>2356.8107636363638</v>
      </c>
      <c r="E103" s="59">
        <f t="shared" si="59"/>
        <v>3.1875000000000002E-3</v>
      </c>
      <c r="F103" s="48" t="str">
        <f t="shared" si="53"/>
        <v>Sudah</v>
      </c>
      <c r="G103" s="1">
        <f t="shared" si="54"/>
        <v>390</v>
      </c>
      <c r="H103" s="48" t="str">
        <f t="shared" si="60"/>
        <v>Tarik</v>
      </c>
      <c r="I103" s="3">
        <f t="shared" si="61"/>
        <v>-1037.7623012603165</v>
      </c>
      <c r="J103" s="59">
        <f t="shared" si="55"/>
        <v>4.7361591695501738E-4</v>
      </c>
      <c r="K103" s="48" t="str">
        <f t="shared" si="56"/>
        <v>Belum</v>
      </c>
      <c r="L103" s="1">
        <f t="shared" si="57"/>
        <v>94.723183391003474</v>
      </c>
      <c r="M103" s="48" t="str">
        <f t="shared" si="62"/>
        <v>Tekan</v>
      </c>
      <c r="N103" s="3">
        <f t="shared" si="63"/>
        <v>97.427027890875422</v>
      </c>
      <c r="O103" s="59"/>
      <c r="P103" s="48"/>
      <c r="Q103" s="1"/>
      <c r="R103" s="48"/>
      <c r="S103" s="3"/>
      <c r="T103" s="3">
        <f t="shared" si="64"/>
        <v>1416.4754902669229</v>
      </c>
      <c r="U103" s="60">
        <f t="shared" si="65"/>
        <v>-395.94847466987471</v>
      </c>
      <c r="V103" s="1">
        <f t="shared" si="66"/>
        <v>0.74895833333333339</v>
      </c>
      <c r="W103" s="3">
        <f t="shared" si="58"/>
        <v>1060.8811223978309</v>
      </c>
      <c r="X103" s="3">
        <f t="shared" si="67"/>
        <v>-296.54890967462495</v>
      </c>
    </row>
    <row r="104" spans="1:24" x14ac:dyDescent="0.25">
      <c r="A104" s="1">
        <v>-5</v>
      </c>
      <c r="B104" s="3">
        <f t="shared" si="69"/>
        <v>131.36363636363637</v>
      </c>
      <c r="C104" s="3">
        <f t="shared" si="51"/>
        <v>111.65909090909092</v>
      </c>
      <c r="D104" s="1">
        <f t="shared" si="52"/>
        <v>2209.5100909090911</v>
      </c>
      <c r="E104" s="59">
        <f t="shared" si="59"/>
        <v>3.5999999999999995E-3</v>
      </c>
      <c r="F104" s="48" t="str">
        <f t="shared" si="53"/>
        <v>Sudah</v>
      </c>
      <c r="G104" s="1">
        <f t="shared" si="54"/>
        <v>390</v>
      </c>
      <c r="H104" s="48" t="str">
        <f t="shared" si="60"/>
        <v>Tarik</v>
      </c>
      <c r="I104" s="3">
        <f t="shared" si="61"/>
        <v>-1037.7623012603165</v>
      </c>
      <c r="J104" s="59">
        <f t="shared" si="55"/>
        <v>3.0519031141868532E-4</v>
      </c>
      <c r="K104" s="48" t="str">
        <f t="shared" si="56"/>
        <v>Belum</v>
      </c>
      <c r="L104" s="1">
        <f t="shared" si="57"/>
        <v>61.038062283737062</v>
      </c>
      <c r="M104" s="48" t="str">
        <f t="shared" si="62"/>
        <v>Tekan</v>
      </c>
      <c r="N104" s="3">
        <f t="shared" si="63"/>
        <v>50.017459696245382</v>
      </c>
      <c r="O104" s="59"/>
      <c r="P104" s="48"/>
      <c r="Q104" s="1"/>
      <c r="R104" s="48"/>
      <c r="S104" s="3"/>
      <c r="T104" s="3">
        <f t="shared" si="64"/>
        <v>1221.76524934502</v>
      </c>
      <c r="U104" s="60">
        <f t="shared" si="65"/>
        <v>-384.46421940276701</v>
      </c>
      <c r="V104" s="1">
        <f t="shared" si="66"/>
        <v>0.78333333333333333</v>
      </c>
      <c r="W104" s="3">
        <f t="shared" si="58"/>
        <v>957.0494453202657</v>
      </c>
      <c r="X104" s="3">
        <f t="shared" si="67"/>
        <v>-301.16363853216751</v>
      </c>
    </row>
    <row r="105" spans="1:24" x14ac:dyDescent="0.25">
      <c r="A105" s="1">
        <v>-6</v>
      </c>
      <c r="B105" s="3">
        <f t="shared" si="69"/>
        <v>122.60606060606061</v>
      </c>
      <c r="C105" s="3">
        <f t="shared" si="51"/>
        <v>104.21515151515152</v>
      </c>
      <c r="D105" s="1">
        <f t="shared" si="52"/>
        <v>2062.2094181818184</v>
      </c>
      <c r="E105" s="59">
        <f t="shared" si="59"/>
        <v>4.0714285714285713E-3</v>
      </c>
      <c r="F105" s="48" t="str">
        <f t="shared" si="53"/>
        <v>Sudah</v>
      </c>
      <c r="G105" s="1">
        <f t="shared" si="54"/>
        <v>390</v>
      </c>
      <c r="H105" s="48" t="str">
        <f t="shared" si="60"/>
        <v>Tarik</v>
      </c>
      <c r="I105" s="3">
        <f t="shared" si="61"/>
        <v>-1037.7623012603165</v>
      </c>
      <c r="J105" s="59">
        <f t="shared" si="55"/>
        <v>1.1270390509144841E-4</v>
      </c>
      <c r="K105" s="48" t="str">
        <f t="shared" si="56"/>
        <v>Belum</v>
      </c>
      <c r="L105" s="1">
        <f t="shared" si="57"/>
        <v>22.540781018289682</v>
      </c>
      <c r="M105" s="48" t="str">
        <f t="shared" si="62"/>
        <v>Tekan</v>
      </c>
      <c r="N105" s="3">
        <f t="shared" si="63"/>
        <v>-4.1649039547604625</v>
      </c>
      <c r="O105" s="59"/>
      <c r="P105" s="48"/>
      <c r="Q105" s="1"/>
      <c r="R105" s="48"/>
      <c r="S105" s="3"/>
      <c r="T105" s="3">
        <f t="shared" si="64"/>
        <v>1020.2822129667414</v>
      </c>
      <c r="U105" s="60">
        <f t="shared" si="65"/>
        <v>-371.49741751417764</v>
      </c>
      <c r="V105" s="1">
        <f t="shared" si="66"/>
        <v>0.82261904761904758</v>
      </c>
      <c r="W105" s="3">
        <f t="shared" si="58"/>
        <v>839.30358233335517</v>
      </c>
      <c r="X105" s="3">
        <f t="shared" si="67"/>
        <v>-305.60085178844849</v>
      </c>
    </row>
    <row r="106" spans="1:24" x14ac:dyDescent="0.25">
      <c r="A106" s="1">
        <v>-7</v>
      </c>
      <c r="B106" s="3">
        <f t="shared" si="69"/>
        <v>113.84848484848486</v>
      </c>
      <c r="C106" s="3">
        <f t="shared" si="51"/>
        <v>96.77121212121213</v>
      </c>
      <c r="D106" s="1">
        <f t="shared" si="52"/>
        <v>1914.9087454545456</v>
      </c>
      <c r="E106" s="59">
        <f t="shared" si="59"/>
        <v>4.6153846153846141E-3</v>
      </c>
      <c r="F106" s="48" t="str">
        <f t="shared" si="53"/>
        <v>Sudah</v>
      </c>
      <c r="G106" s="1">
        <f t="shared" si="54"/>
        <v>390</v>
      </c>
      <c r="H106" s="48" t="str">
        <f t="shared" si="60"/>
        <v>Tarik</v>
      </c>
      <c r="I106" s="3">
        <f t="shared" si="61"/>
        <v>-1037.7623012603165</v>
      </c>
      <c r="J106" s="59">
        <f t="shared" si="55"/>
        <v>1.0939579451690151E-4</v>
      </c>
      <c r="K106" s="48" t="str">
        <f t="shared" si="56"/>
        <v>Belum</v>
      </c>
      <c r="L106" s="1">
        <f t="shared" si="57"/>
        <v>21.879158903380301</v>
      </c>
      <c r="M106" s="48" t="str">
        <f t="shared" si="62"/>
        <v>Tarik</v>
      </c>
      <c r="N106" s="3">
        <f t="shared" si="63"/>
        <v>5.0960930894524923</v>
      </c>
      <c r="O106" s="59"/>
      <c r="P106" s="48"/>
      <c r="Q106" s="1"/>
      <c r="R106" s="48"/>
      <c r="S106" s="3"/>
      <c r="T106" s="3">
        <f t="shared" si="64"/>
        <v>882.2425372836816</v>
      </c>
      <c r="U106" s="60">
        <f t="shared" si="65"/>
        <v>-361.05038990474736</v>
      </c>
      <c r="V106" s="1">
        <f t="shared" si="66"/>
        <v>0.86794871794871786</v>
      </c>
      <c r="W106" s="3">
        <f t="shared" si="58"/>
        <v>765.74127915519534</v>
      </c>
      <c r="X106" s="3">
        <f t="shared" si="67"/>
        <v>-313.3732230327102</v>
      </c>
    </row>
    <row r="107" spans="1:24" x14ac:dyDescent="0.25">
      <c r="A107" s="1">
        <v>-8</v>
      </c>
      <c r="B107" s="3">
        <f t="shared" si="69"/>
        <v>105.09090909090909</v>
      </c>
      <c r="C107" s="3">
        <f t="shared" si="51"/>
        <v>89.327272727272728</v>
      </c>
      <c r="D107" s="1">
        <f t="shared" si="52"/>
        <v>1767.6080727272727</v>
      </c>
      <c r="E107" s="59">
        <f t="shared" si="59"/>
        <v>5.2500000000000003E-3</v>
      </c>
      <c r="F107" s="48" t="str">
        <f t="shared" si="53"/>
        <v>Sudah</v>
      </c>
      <c r="G107" s="1">
        <f t="shared" si="54"/>
        <v>390</v>
      </c>
      <c r="H107" s="48" t="str">
        <f t="shared" si="60"/>
        <v>Tarik</v>
      </c>
      <c r="I107" s="3">
        <f t="shared" si="61"/>
        <v>-1037.7623012603165</v>
      </c>
      <c r="J107" s="59">
        <f t="shared" si="55"/>
        <v>3.685121107266435E-4</v>
      </c>
      <c r="K107" s="48" t="str">
        <f t="shared" si="56"/>
        <v>Belum</v>
      </c>
      <c r="L107" s="1">
        <f t="shared" si="57"/>
        <v>73.702422145328697</v>
      </c>
      <c r="M107" s="48" t="str">
        <f t="shared" si="62"/>
        <v>Tarik</v>
      </c>
      <c r="N107" s="3">
        <f t="shared" si="63"/>
        <v>-67.841704133055359</v>
      </c>
      <c r="O107" s="59"/>
      <c r="P107" s="48"/>
      <c r="Q107" s="1"/>
      <c r="R107" s="48"/>
      <c r="S107" s="3"/>
      <c r="T107" s="3">
        <f t="shared" si="64"/>
        <v>662.00406733390082</v>
      </c>
      <c r="U107" s="60">
        <f t="shared" si="65"/>
        <v>-344.82153374164562</v>
      </c>
      <c r="V107" s="1">
        <f t="shared" si="66"/>
        <v>0.9</v>
      </c>
      <c r="W107" s="3">
        <f t="shared" si="58"/>
        <v>595.80366060051074</v>
      </c>
      <c r="X107" s="3">
        <f t="shared" si="67"/>
        <v>-310.33938036748106</v>
      </c>
    </row>
    <row r="108" spans="1:24" x14ac:dyDescent="0.25">
      <c r="A108" s="1">
        <v>-9</v>
      </c>
      <c r="B108" s="3">
        <f t="shared" si="69"/>
        <v>96.333333333333329</v>
      </c>
      <c r="C108" s="3">
        <f t="shared" si="51"/>
        <v>81.883333333333326</v>
      </c>
      <c r="D108" s="1">
        <f t="shared" si="52"/>
        <v>1620.3073999999997</v>
      </c>
      <c r="E108" s="59">
        <f t="shared" si="59"/>
        <v>6.0000000000000019E-3</v>
      </c>
      <c r="F108" s="48" t="str">
        <f t="shared" si="53"/>
        <v>Sudah</v>
      </c>
      <c r="G108" s="1">
        <f t="shared" si="54"/>
        <v>390</v>
      </c>
      <c r="H108" s="48" t="str">
        <f t="shared" si="60"/>
        <v>Tarik</v>
      </c>
      <c r="I108" s="3">
        <f t="shared" si="61"/>
        <v>-1037.7623012603165</v>
      </c>
      <c r="J108" s="59">
        <f t="shared" si="55"/>
        <v>6.7474048442906593E-4</v>
      </c>
      <c r="K108" s="48" t="str">
        <f t="shared" si="56"/>
        <v>Belum</v>
      </c>
      <c r="L108" s="1">
        <f t="shared" si="57"/>
        <v>134.94809688581319</v>
      </c>
      <c r="M108" s="48" t="str">
        <f t="shared" si="62"/>
        <v>Tarik</v>
      </c>
      <c r="N108" s="3">
        <f t="shared" si="63"/>
        <v>-154.04091903238287</v>
      </c>
      <c r="O108" s="59"/>
      <c r="P108" s="48"/>
      <c r="Q108" s="1"/>
      <c r="R108" s="48"/>
      <c r="S108" s="3"/>
      <c r="T108" s="3">
        <f t="shared" si="64"/>
        <v>428.50417970730035</v>
      </c>
      <c r="U108" s="60">
        <f t="shared" si="65"/>
        <v>-326.74027949049685</v>
      </c>
      <c r="V108" s="1">
        <f t="shared" si="66"/>
        <v>0.9</v>
      </c>
      <c r="W108" s="3">
        <f t="shared" si="58"/>
        <v>385.65376173657035</v>
      </c>
      <c r="X108" s="3">
        <f t="shared" si="67"/>
        <v>-294.06625154144717</v>
      </c>
    </row>
    <row r="109" spans="1:24" x14ac:dyDescent="0.25">
      <c r="A109" s="1">
        <v>-10</v>
      </c>
      <c r="B109" s="3">
        <f t="shared" si="69"/>
        <v>87.575757575757578</v>
      </c>
      <c r="C109" s="3">
        <f t="shared" si="51"/>
        <v>74.439393939393938</v>
      </c>
      <c r="D109" s="1">
        <f t="shared" si="52"/>
        <v>1473.0067272727274</v>
      </c>
      <c r="E109" s="59">
        <f t="shared" si="59"/>
        <v>6.9000000000000008E-3</v>
      </c>
      <c r="F109" s="48" t="str">
        <f t="shared" si="53"/>
        <v>Sudah</v>
      </c>
      <c r="G109" s="1">
        <f t="shared" si="54"/>
        <v>390</v>
      </c>
      <c r="H109" s="48" t="str">
        <f t="shared" si="60"/>
        <v>Tarik</v>
      </c>
      <c r="I109" s="3">
        <f t="shared" si="61"/>
        <v>-1037.7623012603165</v>
      </c>
      <c r="J109" s="59">
        <f t="shared" si="55"/>
        <v>1.0422145328719723E-3</v>
      </c>
      <c r="K109" s="48" t="str">
        <f t="shared" si="56"/>
        <v>Belum</v>
      </c>
      <c r="L109" s="1">
        <f t="shared" si="57"/>
        <v>208.44290657439447</v>
      </c>
      <c r="M109" s="48" t="str">
        <f t="shared" si="62"/>
        <v>Tarik</v>
      </c>
      <c r="N109" s="3">
        <f t="shared" si="63"/>
        <v>-257.47997691157576</v>
      </c>
      <c r="O109" s="59"/>
      <c r="P109" s="48"/>
      <c r="Q109" s="1"/>
      <c r="R109" s="48"/>
      <c r="S109" s="3"/>
      <c r="T109" s="3">
        <f t="shared" si="64"/>
        <v>177.76444910083518</v>
      </c>
      <c r="U109" s="60">
        <f t="shared" si="65"/>
        <v>-306.57985690902757</v>
      </c>
      <c r="V109" s="1">
        <f t="shared" si="66"/>
        <v>0.9</v>
      </c>
      <c r="W109" s="3">
        <f t="shared" si="58"/>
        <v>159.98800419075167</v>
      </c>
      <c r="X109" s="3">
        <f t="shared" si="67"/>
        <v>-275.92187121812481</v>
      </c>
    </row>
    <row r="110" spans="1:24" s="68" customFormat="1" x14ac:dyDescent="0.25">
      <c r="A110" s="1" t="s">
        <v>215</v>
      </c>
      <c r="B110" s="62">
        <v>81.791271296384977</v>
      </c>
      <c r="C110" s="3">
        <f>$G$20*B110</f>
        <v>69.522580601927231</v>
      </c>
      <c r="D110" s="1">
        <f>0.85*$G$5*C110*$G$8/1000</f>
        <v>1375.7128249509362</v>
      </c>
      <c r="E110" s="59">
        <f>ABS(B110-$Q$19)/B110*$G$21</f>
        <v>7.600153124632014E-3</v>
      </c>
      <c r="F110" s="48" t="str">
        <f>IF(E110&lt;$G$6/$G$7,"Belum","Sudah")</f>
        <v>Sudah</v>
      </c>
      <c r="G110" s="1">
        <f>IF(F110="Sudah",$G$6,E110*$G$7)</f>
        <v>390</v>
      </c>
      <c r="H110" s="48" t="str">
        <f>IF(B110&gt;$Q$19,"Tekan","Tarik")</f>
        <v>Tarik</v>
      </c>
      <c r="I110" s="3">
        <f>$L$13*G110/1000*IF(H110="Tarik",-1,1)</f>
        <v>-1037.7623012603165</v>
      </c>
      <c r="J110" s="59">
        <f>ABS(B110-$Q$20)/B110*$G$21</f>
        <v>1.328090203136947E-3</v>
      </c>
      <c r="K110" s="48" t="str">
        <f>IF(J110&lt;$G$6/$G$7,"Belum","Sudah")</f>
        <v>Belum</v>
      </c>
      <c r="L110" s="1">
        <f>IF(K110="Sudah",$G$6,J110*$G$7)</f>
        <v>265.61804062738941</v>
      </c>
      <c r="M110" s="48" t="str">
        <f>IF(B110&gt;$Q$20,"Tekan","Tarik")</f>
        <v>Tarik</v>
      </c>
      <c r="N110" s="3">
        <f>$L$14*(L110-$G$20*$G$5)/1000*IF(M110="Tarik",-1,1)</f>
        <v>-337.95017644836315</v>
      </c>
      <c r="O110" s="59"/>
      <c r="P110" s="48"/>
      <c r="Q110" s="1"/>
      <c r="R110" s="48"/>
      <c r="S110" s="3"/>
      <c r="T110" s="3">
        <f>(D110+I110+N110)</f>
        <v>3.4724225662330355E-4</v>
      </c>
      <c r="U110" s="60">
        <f>-(D110*($G$9/2-C110/2)-I110*ABS($G$9/2-$Q$19)+N110*ABS($G$9/2-$Q$20))/1000</f>
        <v>-291.96993377365499</v>
      </c>
      <c r="V110" s="1">
        <f t="shared" si="66"/>
        <v>0.9</v>
      </c>
      <c r="W110" s="3">
        <f>T110*V110</f>
        <v>3.1251803096097322E-4</v>
      </c>
      <c r="X110" s="3">
        <f>U110*V110</f>
        <v>-262.77294039628947</v>
      </c>
    </row>
    <row r="111" spans="1:24" x14ac:dyDescent="0.25">
      <c r="A111" s="1">
        <v>-11</v>
      </c>
      <c r="B111" s="3">
        <f t="shared" si="69"/>
        <v>78.818181818181813</v>
      </c>
      <c r="C111" s="3">
        <f t="shared" si="51"/>
        <v>66.995454545454535</v>
      </c>
      <c r="D111" s="1">
        <f t="shared" si="52"/>
        <v>1325.7060545454544</v>
      </c>
      <c r="E111" s="59">
        <f t="shared" si="59"/>
        <v>8.0000000000000019E-3</v>
      </c>
      <c r="F111" s="48" t="str">
        <f t="shared" si="53"/>
        <v>Sudah</v>
      </c>
      <c r="G111" s="1">
        <f t="shared" si="54"/>
        <v>390</v>
      </c>
      <c r="H111" s="48" t="str">
        <f t="shared" si="60"/>
        <v>Tarik</v>
      </c>
      <c r="I111" s="3">
        <f t="shared" si="61"/>
        <v>-1037.7623012603165</v>
      </c>
      <c r="J111" s="59">
        <f t="shared" si="55"/>
        <v>1.4913494809688584E-3</v>
      </c>
      <c r="K111" s="48" t="str">
        <f t="shared" si="56"/>
        <v>Belum</v>
      </c>
      <c r="L111" s="1">
        <f t="shared" si="57"/>
        <v>298.26989619377167</v>
      </c>
      <c r="M111" s="48" t="str">
        <f t="shared" si="62"/>
        <v>Tarik</v>
      </c>
      <c r="N111" s="3">
        <f t="shared" si="63"/>
        <v>-383.905492097256</v>
      </c>
      <c r="O111" s="59"/>
      <c r="P111" s="48"/>
      <c r="Q111" s="1"/>
      <c r="R111" s="48"/>
      <c r="S111" s="3"/>
      <c r="T111" s="3">
        <f t="shared" si="64"/>
        <v>-95.961738812118028</v>
      </c>
      <c r="U111" s="60">
        <f t="shared" si="65"/>
        <v>-284.01270898062006</v>
      </c>
      <c r="V111" s="1">
        <f t="shared" si="66"/>
        <v>0.9</v>
      </c>
      <c r="W111" s="3">
        <f t="shared" si="58"/>
        <v>-86.365564930906231</v>
      </c>
      <c r="X111" s="3">
        <f t="shared" si="67"/>
        <v>-255.61143808255807</v>
      </c>
    </row>
    <row r="112" spans="1:24" x14ac:dyDescent="0.25">
      <c r="A112" s="1">
        <v>-12</v>
      </c>
      <c r="B112" s="3">
        <f t="shared" si="69"/>
        <v>70.060606060606062</v>
      </c>
      <c r="C112" s="3">
        <f t="shared" si="51"/>
        <v>59.551515151515154</v>
      </c>
      <c r="D112" s="1">
        <f t="shared" si="52"/>
        <v>1178.4053818181819</v>
      </c>
      <c r="E112" s="59">
        <f t="shared" si="59"/>
        <v>9.3749999999999997E-3</v>
      </c>
      <c r="F112" s="48" t="str">
        <f t="shared" si="53"/>
        <v>Sudah</v>
      </c>
      <c r="G112" s="1">
        <f t="shared" si="54"/>
        <v>390</v>
      </c>
      <c r="H112" s="48" t="str">
        <f t="shared" si="60"/>
        <v>Tarik</v>
      </c>
      <c r="I112" s="3">
        <f t="shared" si="61"/>
        <v>-1037.7623012603165</v>
      </c>
      <c r="J112" s="59">
        <f t="shared" si="55"/>
        <v>2.0527681660899655E-3</v>
      </c>
      <c r="K112" s="48" t="str">
        <f t="shared" si="56"/>
        <v>Sudah</v>
      </c>
      <c r="L112" s="1">
        <f t="shared" si="57"/>
        <v>390</v>
      </c>
      <c r="M112" s="48" t="str">
        <f t="shared" si="62"/>
        <v>Tarik</v>
      </c>
      <c r="N112" s="3">
        <f t="shared" si="63"/>
        <v>-513.00951396059884</v>
      </c>
      <c r="O112" s="59"/>
      <c r="P112" s="48"/>
      <c r="Q112" s="1"/>
      <c r="R112" s="48"/>
      <c r="S112" s="3"/>
      <c r="T112" s="3">
        <f t="shared" si="64"/>
        <v>-372.36643340273338</v>
      </c>
      <c r="U112" s="60">
        <f t="shared" si="65"/>
        <v>-260.19638889111758</v>
      </c>
      <c r="V112" s="1">
        <f t="shared" si="66"/>
        <v>0.9</v>
      </c>
      <c r="W112" s="3">
        <f t="shared" si="58"/>
        <v>-335.12979006246007</v>
      </c>
      <c r="X112" s="3">
        <f t="shared" si="67"/>
        <v>-234.17675000200583</v>
      </c>
    </row>
    <row r="113" spans="1:24" x14ac:dyDescent="0.25">
      <c r="A113" s="1">
        <v>-13</v>
      </c>
      <c r="B113" s="3">
        <f t="shared" si="69"/>
        <v>61.303030303030297</v>
      </c>
      <c r="C113" s="3">
        <f t="shared" si="51"/>
        <v>52.107575757575752</v>
      </c>
      <c r="D113" s="1">
        <f t="shared" si="52"/>
        <v>1031.104709090909</v>
      </c>
      <c r="E113" s="59">
        <f t="shared" si="59"/>
        <v>1.1142857142857144E-2</v>
      </c>
      <c r="F113" s="48" t="str">
        <f t="shared" si="53"/>
        <v>Sudah</v>
      </c>
      <c r="G113" s="1">
        <f t="shared" si="54"/>
        <v>390</v>
      </c>
      <c r="H113" s="48" t="str">
        <f t="shared" si="60"/>
        <v>Tarik</v>
      </c>
      <c r="I113" s="3">
        <f t="shared" si="61"/>
        <v>-1037.7623012603165</v>
      </c>
      <c r="J113" s="59">
        <f t="shared" si="55"/>
        <v>2.7745921898171036E-3</v>
      </c>
      <c r="K113" s="48" t="str">
        <f t="shared" si="56"/>
        <v>Sudah</v>
      </c>
      <c r="L113" s="1">
        <f t="shared" si="57"/>
        <v>390</v>
      </c>
      <c r="M113" s="48" t="str">
        <f t="shared" si="62"/>
        <v>Tarik</v>
      </c>
      <c r="N113" s="3">
        <f t="shared" si="63"/>
        <v>-513.00951396059884</v>
      </c>
      <c r="O113" s="59"/>
      <c r="P113" s="48"/>
      <c r="Q113" s="1"/>
      <c r="R113" s="48"/>
      <c r="S113" s="3"/>
      <c r="T113" s="3">
        <f t="shared" si="64"/>
        <v>-519.66710613000635</v>
      </c>
      <c r="U113" s="60">
        <f t="shared" si="65"/>
        <v>-242.64250076735718</v>
      </c>
      <c r="V113" s="1">
        <f t="shared" si="66"/>
        <v>0.9</v>
      </c>
      <c r="W113" s="3">
        <f t="shared" si="58"/>
        <v>-467.70039551700575</v>
      </c>
      <c r="X113" s="3">
        <f t="shared" si="67"/>
        <v>-218.37825069062146</v>
      </c>
    </row>
    <row r="114" spans="1:24" x14ac:dyDescent="0.25">
      <c r="A114" s="1">
        <v>-14</v>
      </c>
      <c r="B114" s="3">
        <f t="shared" si="69"/>
        <v>52.545454545454561</v>
      </c>
      <c r="C114" s="3">
        <f t="shared" si="51"/>
        <v>44.663636363636378</v>
      </c>
      <c r="D114" s="1">
        <f t="shared" si="52"/>
        <v>883.80403636363656</v>
      </c>
      <c r="E114" s="59">
        <f t="shared" si="59"/>
        <v>1.3499999999999995E-2</v>
      </c>
      <c r="F114" s="48" t="str">
        <f t="shared" si="53"/>
        <v>Sudah</v>
      </c>
      <c r="G114" s="1">
        <f t="shared" si="54"/>
        <v>390</v>
      </c>
      <c r="H114" s="48" t="str">
        <f t="shared" si="60"/>
        <v>Tarik</v>
      </c>
      <c r="I114" s="3">
        <f t="shared" si="61"/>
        <v>-1037.7623012603165</v>
      </c>
      <c r="J114" s="59">
        <f t="shared" si="55"/>
        <v>3.7370242214532852E-3</v>
      </c>
      <c r="K114" s="48" t="str">
        <f t="shared" si="56"/>
        <v>Sudah</v>
      </c>
      <c r="L114" s="1">
        <f t="shared" si="57"/>
        <v>390</v>
      </c>
      <c r="M114" s="48" t="str">
        <f t="shared" si="62"/>
        <v>Tarik</v>
      </c>
      <c r="N114" s="3">
        <f t="shared" si="63"/>
        <v>-513.00951396059884</v>
      </c>
      <c r="O114" s="59"/>
      <c r="P114" s="48"/>
      <c r="Q114" s="1"/>
      <c r="R114" s="48"/>
      <c r="S114" s="3"/>
      <c r="T114" s="3">
        <f t="shared" si="64"/>
        <v>-666.96777885727874</v>
      </c>
      <c r="U114" s="60">
        <f t="shared" si="65"/>
        <v>-223.99211536312856</v>
      </c>
      <c r="V114" s="1">
        <f t="shared" si="66"/>
        <v>0.9</v>
      </c>
      <c r="W114" s="3">
        <f t="shared" si="58"/>
        <v>-600.27100097155085</v>
      </c>
      <c r="X114" s="3">
        <f t="shared" si="67"/>
        <v>-201.5929038268157</v>
      </c>
    </row>
    <row r="115" spans="1:24" x14ac:dyDescent="0.25">
      <c r="A115" s="1">
        <v>-15</v>
      </c>
      <c r="B115" s="3">
        <f t="shared" si="69"/>
        <v>43.787878787878782</v>
      </c>
      <c r="C115" s="3">
        <f t="shared" si="51"/>
        <v>37.219696969696962</v>
      </c>
      <c r="D115" s="1">
        <f t="shared" si="52"/>
        <v>736.50336363636347</v>
      </c>
      <c r="E115" s="59">
        <f t="shared" si="59"/>
        <v>1.6800000000000002E-2</v>
      </c>
      <c r="F115" s="48" t="str">
        <f t="shared" si="53"/>
        <v>Sudah</v>
      </c>
      <c r="G115" s="1">
        <f t="shared" si="54"/>
        <v>390</v>
      </c>
      <c r="H115" s="48" t="str">
        <f t="shared" si="60"/>
        <v>Tarik</v>
      </c>
      <c r="I115" s="3">
        <f t="shared" si="61"/>
        <v>-1037.7623012603165</v>
      </c>
      <c r="J115" s="59">
        <f t="shared" si="55"/>
        <v>5.0844290657439464E-3</v>
      </c>
      <c r="K115" s="48" t="str">
        <f t="shared" si="56"/>
        <v>Sudah</v>
      </c>
      <c r="L115" s="1">
        <f t="shared" si="57"/>
        <v>390</v>
      </c>
      <c r="M115" s="48" t="str">
        <f t="shared" si="62"/>
        <v>Tarik</v>
      </c>
      <c r="N115" s="3">
        <f t="shared" si="63"/>
        <v>-513.00951396059884</v>
      </c>
      <c r="O115" s="59"/>
      <c r="P115" s="48"/>
      <c r="Q115" s="1"/>
      <c r="R115" s="48"/>
      <c r="S115" s="3"/>
      <c r="T115" s="3">
        <f t="shared" si="64"/>
        <v>-814.26845158455183</v>
      </c>
      <c r="U115" s="60">
        <f t="shared" si="65"/>
        <v>-204.24523267843156</v>
      </c>
      <c r="V115" s="1">
        <f t="shared" si="66"/>
        <v>0.9</v>
      </c>
      <c r="W115" s="3">
        <f t="shared" si="58"/>
        <v>-732.84160642609663</v>
      </c>
      <c r="X115" s="3">
        <f t="shared" si="67"/>
        <v>-183.82070941058842</v>
      </c>
    </row>
    <row r="116" spans="1:24" x14ac:dyDescent="0.25">
      <c r="A116" s="1">
        <v>-16</v>
      </c>
      <c r="B116" s="3">
        <f t="shared" si="69"/>
        <v>35.030303030303031</v>
      </c>
      <c r="C116" s="3">
        <f t="shared" si="51"/>
        <v>29.775757575757577</v>
      </c>
      <c r="D116" s="1">
        <f t="shared" si="52"/>
        <v>589.20269090909096</v>
      </c>
      <c r="E116" s="59">
        <f t="shared" si="59"/>
        <v>2.1750000000000002E-2</v>
      </c>
      <c r="F116" s="48" t="str">
        <f t="shared" si="53"/>
        <v>Sudah</v>
      </c>
      <c r="G116" s="1">
        <f t="shared" si="54"/>
        <v>390</v>
      </c>
      <c r="H116" s="48" t="str">
        <f t="shared" si="60"/>
        <v>Tarik</v>
      </c>
      <c r="I116" s="3">
        <f t="shared" si="61"/>
        <v>-1037.7623012603165</v>
      </c>
      <c r="J116" s="59">
        <f t="shared" si="55"/>
        <v>7.1055363321799302E-3</v>
      </c>
      <c r="K116" s="48" t="str">
        <f t="shared" si="56"/>
        <v>Sudah</v>
      </c>
      <c r="L116" s="1">
        <f t="shared" si="57"/>
        <v>390</v>
      </c>
      <c r="M116" s="48" t="str">
        <f t="shared" si="62"/>
        <v>Tarik</v>
      </c>
      <c r="N116" s="3">
        <f t="shared" si="63"/>
        <v>-513.00951396059884</v>
      </c>
      <c r="O116" s="59"/>
      <c r="P116" s="48"/>
      <c r="Q116" s="1"/>
      <c r="R116" s="48"/>
      <c r="S116" s="3"/>
      <c r="T116" s="3">
        <f t="shared" si="64"/>
        <v>-961.56912431182434</v>
      </c>
      <c r="U116" s="60">
        <f t="shared" si="65"/>
        <v>-183.40185271326632</v>
      </c>
      <c r="V116" s="1">
        <f t="shared" si="66"/>
        <v>0.9</v>
      </c>
      <c r="W116" s="3">
        <f t="shared" si="58"/>
        <v>-865.41221188064196</v>
      </c>
      <c r="X116" s="3">
        <f t="shared" si="67"/>
        <v>-165.0616674419397</v>
      </c>
    </row>
    <row r="117" spans="1:24" x14ac:dyDescent="0.25">
      <c r="A117" s="1">
        <v>-17</v>
      </c>
      <c r="B117" s="3">
        <f t="shared" si="69"/>
        <v>26.27272727272728</v>
      </c>
      <c r="C117" s="3">
        <f t="shared" si="51"/>
        <v>22.331818181818189</v>
      </c>
      <c r="D117" s="1">
        <f t="shared" si="52"/>
        <v>441.90201818181828</v>
      </c>
      <c r="E117" s="59">
        <f t="shared" si="59"/>
        <v>2.9999999999999995E-2</v>
      </c>
      <c r="F117" s="48" t="str">
        <f t="shared" si="53"/>
        <v>Sudah</v>
      </c>
      <c r="G117" s="1">
        <f t="shared" si="54"/>
        <v>390</v>
      </c>
      <c r="H117" s="48" t="str">
        <f t="shared" si="60"/>
        <v>Tarik</v>
      </c>
      <c r="I117" s="3">
        <f t="shared" si="61"/>
        <v>-1037.7623012603165</v>
      </c>
      <c r="J117" s="59">
        <f t="shared" si="55"/>
        <v>1.047404844290657E-2</v>
      </c>
      <c r="K117" s="48" t="str">
        <f t="shared" si="56"/>
        <v>Sudah</v>
      </c>
      <c r="L117" s="1">
        <f t="shared" si="57"/>
        <v>390</v>
      </c>
      <c r="M117" s="48" t="str">
        <f t="shared" si="62"/>
        <v>Tarik</v>
      </c>
      <c r="N117" s="3">
        <f t="shared" si="63"/>
        <v>-513.00951396059884</v>
      </c>
      <c r="O117" s="59"/>
      <c r="P117" s="48"/>
      <c r="Q117" s="1"/>
      <c r="R117" s="48"/>
      <c r="S117" s="3"/>
      <c r="T117" s="3">
        <f t="shared" si="64"/>
        <v>-1108.8697970390972</v>
      </c>
      <c r="U117" s="60">
        <f t="shared" si="65"/>
        <v>-161.4619754676327</v>
      </c>
      <c r="V117" s="1">
        <f t="shared" si="66"/>
        <v>0.9</v>
      </c>
      <c r="W117" s="3">
        <f t="shared" si="58"/>
        <v>-997.98281733518752</v>
      </c>
      <c r="X117" s="3">
        <f t="shared" si="67"/>
        <v>-145.31577792086944</v>
      </c>
    </row>
    <row r="118" spans="1:24" x14ac:dyDescent="0.25">
      <c r="A118" s="1">
        <v>-18</v>
      </c>
      <c r="B118" s="3">
        <f t="shared" si="69"/>
        <v>17.515151515151501</v>
      </c>
      <c r="C118" s="3">
        <f t="shared" si="51"/>
        <v>14.887878787878776</v>
      </c>
      <c r="D118" s="1">
        <f t="shared" si="52"/>
        <v>294.60134545454525</v>
      </c>
      <c r="E118" s="59">
        <f t="shared" si="59"/>
        <v>4.6500000000000041E-2</v>
      </c>
      <c r="F118" s="48" t="str">
        <f t="shared" si="53"/>
        <v>Sudah</v>
      </c>
      <c r="G118" s="1">
        <f t="shared" si="54"/>
        <v>390</v>
      </c>
      <c r="H118" s="48" t="str">
        <f t="shared" si="60"/>
        <v>Tarik</v>
      </c>
      <c r="I118" s="3">
        <f t="shared" si="61"/>
        <v>-1037.7623012603165</v>
      </c>
      <c r="J118" s="59">
        <f t="shared" si="55"/>
        <v>1.721107266435988E-2</v>
      </c>
      <c r="K118" s="48" t="str">
        <f t="shared" si="56"/>
        <v>Sudah</v>
      </c>
      <c r="L118" s="1">
        <f t="shared" si="57"/>
        <v>390</v>
      </c>
      <c r="M118" s="48" t="str">
        <f t="shared" si="62"/>
        <v>Tarik</v>
      </c>
      <c r="N118" s="3">
        <f t="shared" si="63"/>
        <v>-513.00951396059884</v>
      </c>
      <c r="O118" s="59"/>
      <c r="P118" s="48"/>
      <c r="Q118" s="1"/>
      <c r="R118" s="48"/>
      <c r="S118" s="3"/>
      <c r="T118" s="3">
        <f t="shared" si="64"/>
        <v>-1256.1704697663699</v>
      </c>
      <c r="U118" s="60">
        <f t="shared" si="65"/>
        <v>-138.42560094153072</v>
      </c>
      <c r="V118" s="1">
        <f t="shared" si="66"/>
        <v>0.9</v>
      </c>
      <c r="W118" s="3">
        <f t="shared" si="58"/>
        <v>-1130.5534227897331</v>
      </c>
      <c r="X118" s="3">
        <f t="shared" si="67"/>
        <v>-124.58304084737765</v>
      </c>
    </row>
    <row r="119" spans="1:24" x14ac:dyDescent="0.25">
      <c r="A119" s="1">
        <v>-19</v>
      </c>
      <c r="B119" s="3">
        <f t="shared" si="69"/>
        <v>8.7575757575757791</v>
      </c>
      <c r="C119" s="3">
        <f t="shared" si="51"/>
        <v>7.4439393939394121</v>
      </c>
      <c r="D119" s="1">
        <f t="shared" si="52"/>
        <v>147.30067272727311</v>
      </c>
      <c r="E119" s="59">
        <f t="shared" si="59"/>
        <v>9.5999999999999766E-2</v>
      </c>
      <c r="F119" s="48" t="str">
        <f t="shared" si="53"/>
        <v>Sudah</v>
      </c>
      <c r="G119" s="1">
        <f t="shared" si="54"/>
        <v>390</v>
      </c>
      <c r="H119" s="48" t="str">
        <f t="shared" si="60"/>
        <v>Tarik</v>
      </c>
      <c r="I119" s="3">
        <f t="shared" si="61"/>
        <v>-1037.7623012603165</v>
      </c>
      <c r="J119" s="59">
        <f t="shared" si="55"/>
        <v>3.7422145328719625E-2</v>
      </c>
      <c r="K119" s="48" t="str">
        <f t="shared" si="56"/>
        <v>Sudah</v>
      </c>
      <c r="L119" s="1">
        <f t="shared" si="57"/>
        <v>390</v>
      </c>
      <c r="M119" s="48" t="str">
        <f t="shared" si="62"/>
        <v>Tarik</v>
      </c>
      <c r="N119" s="3">
        <f t="shared" si="63"/>
        <v>-513.00951396059884</v>
      </c>
      <c r="O119" s="59"/>
      <c r="P119" s="48"/>
      <c r="Q119" s="1"/>
      <c r="R119" s="48"/>
      <c r="S119" s="3"/>
      <c r="T119" s="3">
        <f t="shared" si="64"/>
        <v>-1403.4711424936422</v>
      </c>
      <c r="U119" s="60">
        <f t="shared" si="65"/>
        <v>-114.29272913496057</v>
      </c>
      <c r="V119" s="1">
        <f t="shared" si="66"/>
        <v>0.9</v>
      </c>
      <c r="W119" s="3">
        <f t="shared" ref="W119:W120" si="70">T119*V119</f>
        <v>-1263.124028244278</v>
      </c>
      <c r="X119" s="3">
        <f t="shared" ref="X119:X120" si="71">U119*V119</f>
        <v>-102.86345622146452</v>
      </c>
    </row>
    <row r="120" spans="1:24" x14ac:dyDescent="0.25">
      <c r="A120" s="1">
        <v>-20</v>
      </c>
      <c r="B120" s="3">
        <v>9.9999999999999994E-12</v>
      </c>
      <c r="C120" s="3">
        <f t="shared" ref="C120" si="72">$G$20*B120</f>
        <v>8.4999999999999997E-12</v>
      </c>
      <c r="D120" s="1">
        <f t="shared" ref="D120" si="73">0.85*$G$5*C120*$G$8/1000</f>
        <v>1.6819800000000001E-10</v>
      </c>
      <c r="E120" s="59">
        <f t="shared" si="59"/>
        <v>86699999999.997009</v>
      </c>
      <c r="F120" s="55" t="str">
        <f t="shared" ref="F120" si="74">IF(E120&lt;$G$6/$G$7,"Belum","Sudah")</f>
        <v>Sudah</v>
      </c>
      <c r="G120" s="1">
        <f t="shared" ref="G120" si="75">IF(F120="Sudah",$G$6,E120*$G$7)</f>
        <v>390</v>
      </c>
      <c r="H120" s="55" t="str">
        <f t="shared" ref="H120" si="76">IF(B120&gt;$Q$19,"Tekan","Tarik")</f>
        <v>Tarik</v>
      </c>
      <c r="I120" s="3">
        <f t="shared" ref="I120" si="77">$L$13*G120/1000*IF(H120="Tarik",-1,1)</f>
        <v>-1037.7623012603165</v>
      </c>
      <c r="J120" s="59">
        <f t="shared" ref="J120" si="78">ABS(B120-$Q$20)/B120*$G$21</f>
        <v>35399999999.997002</v>
      </c>
      <c r="K120" s="55" t="str">
        <f t="shared" ref="K120" si="79">IF(J120&lt;$G$6/$G$7,"Belum","Sudah")</f>
        <v>Sudah</v>
      </c>
      <c r="L120" s="1">
        <f t="shared" ref="L120" si="80">IF(K120="Sudah",$G$6,J120*$G$7)</f>
        <v>390</v>
      </c>
      <c r="M120" s="55" t="str">
        <f t="shared" ref="M120" si="81">IF(B120&gt;$Q$20,"Tekan","Tarik")</f>
        <v>Tarik</v>
      </c>
      <c r="N120" s="3">
        <f t="shared" ref="N120" si="82">$L$14*(L120-$G$20*$G$5)/1000*IF(M120="Tarik",-1,1)</f>
        <v>-513.00951396059884</v>
      </c>
      <c r="O120" s="59"/>
      <c r="P120" s="55"/>
      <c r="Q120" s="1"/>
      <c r="R120" s="55"/>
      <c r="S120" s="3"/>
      <c r="T120" s="3">
        <f t="shared" si="64"/>
        <v>-1550.7718152207472</v>
      </c>
      <c r="U120" s="60">
        <f t="shared" ref="U120" si="83">-(D120*($G$9/2-C120/2)-I120*ABS($G$9/2-$Q$19)+N120*ABS($G$9/2-$Q$20))/1000</f>
        <v>-89.063360047951377</v>
      </c>
      <c r="V120" s="1">
        <f t="shared" si="66"/>
        <v>0.9</v>
      </c>
      <c r="W120" s="3">
        <f t="shared" si="70"/>
        <v>-1395.6946336986725</v>
      </c>
      <c r="X120" s="3">
        <f t="shared" si="71"/>
        <v>-80.157024043156241</v>
      </c>
    </row>
    <row r="121" spans="1:24" x14ac:dyDescent="0.25">
      <c r="E121" s="64"/>
      <c r="F121" s="64"/>
      <c r="H121" s="64"/>
      <c r="P121" s="64"/>
    </row>
    <row r="122" spans="1:24" x14ac:dyDescent="0.25">
      <c r="E122" s="64"/>
      <c r="F122" s="64"/>
      <c r="H122" s="64"/>
      <c r="P122" s="64"/>
    </row>
    <row r="123" spans="1:24" x14ac:dyDescent="0.25">
      <c r="E123" s="64"/>
      <c r="F123" s="64"/>
      <c r="H123" s="64"/>
      <c r="P123" s="64"/>
    </row>
    <row r="124" spans="1:24" x14ac:dyDescent="0.25">
      <c r="E124" s="64"/>
      <c r="F124" s="64"/>
      <c r="H124" s="64"/>
      <c r="P124" s="64"/>
    </row>
    <row r="125" spans="1:24" x14ac:dyDescent="0.25">
      <c r="E125" s="64"/>
      <c r="F125" s="64"/>
      <c r="H125" s="64"/>
      <c r="P125" s="64"/>
    </row>
    <row r="126" spans="1:24" x14ac:dyDescent="0.25">
      <c r="E126" s="64"/>
      <c r="F126" s="64"/>
      <c r="H126" s="64"/>
      <c r="P126" s="64"/>
    </row>
    <row r="127" spans="1:24" x14ac:dyDescent="0.25">
      <c r="E127" s="64"/>
      <c r="F127" s="64"/>
      <c r="H127" s="64"/>
      <c r="P127" s="64"/>
    </row>
    <row r="128" spans="1:24" x14ac:dyDescent="0.25">
      <c r="E128" s="64"/>
      <c r="F128" s="64"/>
      <c r="H128" s="64"/>
      <c r="P128" s="64"/>
    </row>
  </sheetData>
  <mergeCells count="18">
    <mergeCell ref="A76:A77"/>
    <mergeCell ref="B76:D76"/>
    <mergeCell ref="E76:I76"/>
    <mergeCell ref="J76:N76"/>
    <mergeCell ref="O76:S76"/>
    <mergeCell ref="A33:A34"/>
    <mergeCell ref="B33:D33"/>
    <mergeCell ref="E33:I33"/>
    <mergeCell ref="J33:N33"/>
    <mergeCell ref="O33:S33"/>
    <mergeCell ref="V33:V34"/>
    <mergeCell ref="W33:X33"/>
    <mergeCell ref="V76:V77"/>
    <mergeCell ref="W76:X76"/>
    <mergeCell ref="J18:M18"/>
    <mergeCell ref="O18:R18"/>
    <mergeCell ref="T33:U33"/>
    <mergeCell ref="T76:U7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86FA-2A92-4CCF-975A-735AC7AFC530}">
  <sheetPr codeName="Sheet8"/>
  <dimension ref="A1:S132"/>
  <sheetViews>
    <sheetView zoomScaleNormal="100" workbookViewId="0">
      <selection activeCell="S117" sqref="S117"/>
    </sheetView>
  </sheetViews>
  <sheetFormatPr defaultRowHeight="15" x14ac:dyDescent="0.25"/>
  <cols>
    <col min="1" max="1" width="9.7109375" style="68" customWidth="1"/>
    <col min="2" max="4" width="9.140625" style="68"/>
    <col min="5" max="5" width="9.140625" style="50" customWidth="1"/>
    <col min="6" max="6" width="7.28515625" style="92" customWidth="1"/>
    <col min="7" max="7" width="9.140625" style="68"/>
    <col min="8" max="8" width="7.140625" style="92" customWidth="1"/>
    <col min="9" max="9" width="9.140625" style="68"/>
    <col min="10" max="10" width="9.140625" style="68" customWidth="1"/>
    <col min="11" max="11" width="7.28515625" style="68" customWidth="1"/>
    <col min="12" max="12" width="9.140625" style="68"/>
    <col min="13" max="13" width="7.28515625" style="68" customWidth="1"/>
    <col min="14" max="14" width="9.140625" style="68"/>
    <col min="15" max="15" width="12" style="68" customWidth="1"/>
    <col min="16" max="16" width="12.140625" style="68" customWidth="1"/>
    <col min="17" max="17" width="6.28515625" style="68" customWidth="1"/>
    <col min="18" max="19" width="12.140625" style="68" customWidth="1"/>
    <col min="20" max="16384" width="9.140625" style="68"/>
  </cols>
  <sheetData>
    <row r="1" spans="1:13" x14ac:dyDescent="0.25">
      <c r="B1" s="68" t="s">
        <v>2082</v>
      </c>
    </row>
    <row r="3" spans="1:13" x14ac:dyDescent="0.25">
      <c r="A3" s="68" t="s">
        <v>155</v>
      </c>
    </row>
    <row r="4" spans="1:13" x14ac:dyDescent="0.25">
      <c r="A4" s="68">
        <v>1</v>
      </c>
      <c r="B4" s="68" t="s">
        <v>158</v>
      </c>
    </row>
    <row r="5" spans="1:13" x14ac:dyDescent="0.25">
      <c r="B5" s="68" t="s">
        <v>173</v>
      </c>
      <c r="E5" s="50" t="s">
        <v>156</v>
      </c>
      <c r="F5" s="92" t="s">
        <v>52</v>
      </c>
      <c r="G5" s="68">
        <v>30</v>
      </c>
      <c r="H5" s="54" t="s">
        <v>110</v>
      </c>
    </row>
    <row r="6" spans="1:13" x14ac:dyDescent="0.25">
      <c r="B6" s="68" t="s">
        <v>172</v>
      </c>
      <c r="E6" s="50" t="s">
        <v>157</v>
      </c>
      <c r="F6" s="92" t="s">
        <v>52</v>
      </c>
      <c r="G6" s="68">
        <v>390</v>
      </c>
      <c r="H6" s="54" t="s">
        <v>110</v>
      </c>
    </row>
    <row r="7" spans="1:13" x14ac:dyDescent="0.25">
      <c r="E7" s="50" t="s">
        <v>174</v>
      </c>
      <c r="F7" s="92" t="s">
        <v>52</v>
      </c>
      <c r="G7" s="68">
        <v>200000</v>
      </c>
      <c r="H7" s="54" t="s">
        <v>110</v>
      </c>
    </row>
    <row r="8" spans="1:13" x14ac:dyDescent="0.25">
      <c r="B8" s="68" t="s">
        <v>159</v>
      </c>
      <c r="E8" s="50" t="s">
        <v>79</v>
      </c>
      <c r="F8" s="92" t="s">
        <v>52</v>
      </c>
      <c r="G8" s="68">
        <v>776</v>
      </c>
      <c r="H8" s="54" t="s">
        <v>63</v>
      </c>
    </row>
    <row r="9" spans="1:13" x14ac:dyDescent="0.25">
      <c r="B9" s="68" t="s">
        <v>160</v>
      </c>
      <c r="E9" s="50" t="s">
        <v>161</v>
      </c>
      <c r="F9" s="92" t="s">
        <v>52</v>
      </c>
      <c r="G9" s="68">
        <v>300</v>
      </c>
      <c r="H9" s="54" t="s">
        <v>63</v>
      </c>
    </row>
    <row r="10" spans="1:13" x14ac:dyDescent="0.25">
      <c r="B10" s="68" t="s">
        <v>162</v>
      </c>
      <c r="E10" s="50" t="s">
        <v>164</v>
      </c>
      <c r="F10" s="92" t="s">
        <v>52</v>
      </c>
      <c r="G10" s="68">
        <v>22</v>
      </c>
      <c r="H10" s="54" t="s">
        <v>63</v>
      </c>
    </row>
    <row r="11" spans="1:13" x14ac:dyDescent="0.25">
      <c r="B11" s="68" t="s">
        <v>167</v>
      </c>
      <c r="E11" s="50" t="s">
        <v>170</v>
      </c>
      <c r="F11" s="92" t="s">
        <v>52</v>
      </c>
      <c r="G11" s="68">
        <v>4</v>
      </c>
      <c r="H11" s="54" t="s">
        <v>168</v>
      </c>
    </row>
    <row r="12" spans="1:13" x14ac:dyDescent="0.25">
      <c r="B12" s="68" t="s">
        <v>166</v>
      </c>
      <c r="E12" s="50" t="s">
        <v>165</v>
      </c>
      <c r="F12" s="92" t="s">
        <v>52</v>
      </c>
      <c r="G12" s="68">
        <v>22</v>
      </c>
      <c r="H12" s="54" t="s">
        <v>63</v>
      </c>
      <c r="J12" s="50" t="s">
        <v>210</v>
      </c>
      <c r="K12" s="92" t="s">
        <v>52</v>
      </c>
      <c r="L12" s="68">
        <f>G8*G9</f>
        <v>232800</v>
      </c>
      <c r="M12" s="68" t="s">
        <v>176</v>
      </c>
    </row>
    <row r="13" spans="1:13" x14ac:dyDescent="0.25">
      <c r="B13" s="68" t="s">
        <v>169</v>
      </c>
      <c r="E13" s="50" t="s">
        <v>171</v>
      </c>
      <c r="F13" s="92" t="s">
        <v>52</v>
      </c>
      <c r="G13" s="68">
        <v>4</v>
      </c>
      <c r="H13" s="54" t="s">
        <v>168</v>
      </c>
      <c r="J13" s="50" t="s">
        <v>175</v>
      </c>
      <c r="K13" s="92" t="s">
        <v>52</v>
      </c>
      <c r="L13" s="51">
        <f>0.25*PI()*G10^2*G11</f>
        <v>1520.5308443374599</v>
      </c>
      <c r="M13" s="68" t="s">
        <v>176</v>
      </c>
    </row>
    <row r="14" spans="1:13" x14ac:dyDescent="0.25">
      <c r="H14" s="54"/>
      <c r="J14" s="50" t="s">
        <v>177</v>
      </c>
      <c r="K14" s="92" t="s">
        <v>52</v>
      </c>
      <c r="L14" s="51">
        <f>0.25*PI()*G12^2*G13</f>
        <v>1520.5308443374599</v>
      </c>
      <c r="M14" s="68" t="s">
        <v>176</v>
      </c>
    </row>
    <row r="15" spans="1:13" x14ac:dyDescent="0.25">
      <c r="A15" s="68" t="s">
        <v>184</v>
      </c>
      <c r="E15" s="50" t="s">
        <v>185</v>
      </c>
      <c r="F15" s="92" t="s">
        <v>52</v>
      </c>
      <c r="G15" s="68">
        <v>0.85</v>
      </c>
      <c r="H15" s="54" t="s">
        <v>186</v>
      </c>
      <c r="J15" s="50" t="s">
        <v>188</v>
      </c>
      <c r="K15" s="92" t="s">
        <v>52</v>
      </c>
      <c r="L15" s="51">
        <f>SUM(L13:L14)</f>
        <v>3041.0616886749199</v>
      </c>
      <c r="M15" s="68" t="s">
        <v>176</v>
      </c>
    </row>
    <row r="16" spans="1:13" x14ac:dyDescent="0.25">
      <c r="A16" s="68" t="s">
        <v>212</v>
      </c>
      <c r="E16" s="50" t="s">
        <v>187</v>
      </c>
      <c r="F16" s="92" t="s">
        <v>52</v>
      </c>
      <c r="G16" s="68">
        <v>3.0000000000000001E-3</v>
      </c>
      <c r="H16" s="54"/>
    </row>
    <row r="17" spans="1:13" x14ac:dyDescent="0.25">
      <c r="H17" s="54"/>
    </row>
    <row r="18" spans="1:13" x14ac:dyDescent="0.25">
      <c r="A18" s="68" t="s">
        <v>183</v>
      </c>
      <c r="E18" s="50" t="s">
        <v>189</v>
      </c>
      <c r="F18" s="92" t="s">
        <v>52</v>
      </c>
      <c r="G18" s="68">
        <f>SQRT(G5)/(4*G6)*G8*G9</f>
        <v>817.3705858154018</v>
      </c>
      <c r="H18" s="54" t="s">
        <v>176</v>
      </c>
      <c r="I18" s="68" t="str">
        <f>IF(L15&lt;G18,"Tidak OK!","OK!")</f>
        <v>OK!</v>
      </c>
      <c r="J18" s="159" t="s">
        <v>193</v>
      </c>
      <c r="K18" s="159"/>
      <c r="L18" s="159"/>
      <c r="M18" s="159"/>
    </row>
    <row r="19" spans="1:13" x14ac:dyDescent="0.25">
      <c r="E19" s="50" t="s">
        <v>190</v>
      </c>
      <c r="F19" s="92" t="s">
        <v>52</v>
      </c>
      <c r="G19" s="68">
        <f>1.4/G6*G8*G9</f>
        <v>835.69230769230762</v>
      </c>
      <c r="H19" s="54" t="s">
        <v>176</v>
      </c>
      <c r="I19" s="68" t="str">
        <f>IF(L15&lt;G19,"Tidak OK!","OK!")</f>
        <v>OK!</v>
      </c>
      <c r="J19" s="50" t="s">
        <v>163</v>
      </c>
      <c r="K19" s="92" t="s">
        <v>52</v>
      </c>
      <c r="L19" s="68">
        <v>61</v>
      </c>
      <c r="M19" s="68" t="s">
        <v>63</v>
      </c>
    </row>
    <row r="20" spans="1:13" x14ac:dyDescent="0.25">
      <c r="H20" s="54"/>
      <c r="J20" s="50" t="s">
        <v>179</v>
      </c>
      <c r="K20" s="92" t="s">
        <v>52</v>
      </c>
      <c r="L20" s="68">
        <v>239</v>
      </c>
      <c r="M20" s="68" t="s">
        <v>63</v>
      </c>
    </row>
    <row r="21" spans="1:13" x14ac:dyDescent="0.25">
      <c r="A21" s="68" t="s">
        <v>191</v>
      </c>
      <c r="E21" s="50" t="s">
        <v>192</v>
      </c>
      <c r="F21" s="92" t="s">
        <v>52</v>
      </c>
      <c r="G21" s="68">
        <f>L15/(G8*G9)</f>
        <v>1.3062979762349313E-2</v>
      </c>
      <c r="H21" s="54"/>
      <c r="J21" s="50"/>
      <c r="K21" s="92"/>
    </row>
    <row r="22" spans="1:13" x14ac:dyDescent="0.25">
      <c r="H22" s="54"/>
      <c r="J22" s="159" t="s">
        <v>216</v>
      </c>
      <c r="K22" s="159"/>
      <c r="L22" s="159"/>
      <c r="M22" s="159"/>
    </row>
    <row r="23" spans="1:13" x14ac:dyDescent="0.25">
      <c r="A23" s="68" t="s">
        <v>199</v>
      </c>
      <c r="D23" s="68" t="s">
        <v>200</v>
      </c>
      <c r="E23" s="50" t="s">
        <v>201</v>
      </c>
      <c r="F23" s="92" t="s">
        <v>52</v>
      </c>
      <c r="G23" s="68">
        <v>0.8</v>
      </c>
      <c r="H23" s="54"/>
      <c r="J23" s="50" t="s">
        <v>1088</v>
      </c>
      <c r="K23" s="92" t="s">
        <v>52</v>
      </c>
      <c r="L23" s="68">
        <f>G9-L19</f>
        <v>239</v>
      </c>
      <c r="M23" s="68" t="s">
        <v>63</v>
      </c>
    </row>
    <row r="24" spans="1:13" x14ac:dyDescent="0.25">
      <c r="D24" s="68" t="s">
        <v>202</v>
      </c>
      <c r="E24" s="50" t="s">
        <v>201</v>
      </c>
      <c r="F24" s="92" t="s">
        <v>52</v>
      </c>
      <c r="G24" s="68">
        <v>0.65</v>
      </c>
      <c r="H24" s="54" t="s">
        <v>203</v>
      </c>
      <c r="J24" s="50" t="s">
        <v>1089</v>
      </c>
      <c r="K24" s="92" t="s">
        <v>52</v>
      </c>
      <c r="L24" s="68">
        <f>G9-L20</f>
        <v>61</v>
      </c>
      <c r="M24" s="68" t="s">
        <v>63</v>
      </c>
    </row>
    <row r="30" spans="1:13" x14ac:dyDescent="0.25">
      <c r="H30" s="54"/>
    </row>
    <row r="31" spans="1:13" x14ac:dyDescent="0.25">
      <c r="H31" s="54"/>
    </row>
    <row r="32" spans="1:13" x14ac:dyDescent="0.25">
      <c r="A32" s="68" t="s">
        <v>2078</v>
      </c>
    </row>
    <row r="33" spans="1:19" x14ac:dyDescent="0.25">
      <c r="A33" s="160" t="s">
        <v>193</v>
      </c>
      <c r="B33" s="156" t="s">
        <v>173</v>
      </c>
      <c r="C33" s="156"/>
      <c r="D33" s="156"/>
      <c r="E33" s="156" t="s">
        <v>1092</v>
      </c>
      <c r="F33" s="156"/>
      <c r="G33" s="156"/>
      <c r="H33" s="156"/>
      <c r="I33" s="156"/>
      <c r="J33" s="156" t="s">
        <v>1091</v>
      </c>
      <c r="K33" s="156"/>
      <c r="L33" s="156"/>
      <c r="M33" s="156"/>
      <c r="N33" s="156"/>
      <c r="O33" s="156" t="s">
        <v>2034</v>
      </c>
      <c r="P33" s="156"/>
      <c r="Q33" s="158" t="s">
        <v>201</v>
      </c>
      <c r="R33" s="156" t="s">
        <v>2035</v>
      </c>
      <c r="S33" s="156"/>
    </row>
    <row r="34" spans="1:19" x14ac:dyDescent="0.25">
      <c r="A34" s="160"/>
      <c r="B34" s="91" t="s">
        <v>194</v>
      </c>
      <c r="C34" s="91" t="s">
        <v>195</v>
      </c>
      <c r="D34" s="91" t="s">
        <v>196</v>
      </c>
      <c r="E34" s="91" t="s">
        <v>197</v>
      </c>
      <c r="F34" s="91" t="s">
        <v>213</v>
      </c>
      <c r="G34" s="91" t="s">
        <v>214</v>
      </c>
      <c r="H34" s="91" t="s">
        <v>198</v>
      </c>
      <c r="I34" s="91" t="s">
        <v>204</v>
      </c>
      <c r="J34" s="91" t="s">
        <v>197</v>
      </c>
      <c r="K34" s="91" t="s">
        <v>213</v>
      </c>
      <c r="L34" s="91" t="s">
        <v>214</v>
      </c>
      <c r="M34" s="91" t="s">
        <v>198</v>
      </c>
      <c r="N34" s="91" t="s">
        <v>205</v>
      </c>
      <c r="O34" s="91" t="s">
        <v>207</v>
      </c>
      <c r="P34" s="91" t="s">
        <v>208</v>
      </c>
      <c r="Q34" s="158"/>
      <c r="R34" s="91" t="s">
        <v>207</v>
      </c>
      <c r="S34" s="91" t="s">
        <v>208</v>
      </c>
    </row>
    <row r="35" spans="1:19" x14ac:dyDescent="0.25">
      <c r="A35" s="91" t="s">
        <v>209</v>
      </c>
      <c r="B35" s="1"/>
      <c r="C35" s="1"/>
      <c r="D35" s="1"/>
      <c r="E35" s="59"/>
      <c r="F35" s="91"/>
      <c r="G35" s="1"/>
      <c r="H35" s="91"/>
      <c r="I35" s="3"/>
      <c r="J35" s="1"/>
      <c r="K35" s="1"/>
      <c r="L35" s="1"/>
      <c r="M35" s="1"/>
      <c r="N35" s="1"/>
      <c r="O35" s="3">
        <f>0.8*($G$15*$G$5*($L$12-($L$13+$L$14))+$G$6*($L$13+$L$14))/1000</f>
        <v>5635.8935884176062</v>
      </c>
      <c r="P35" s="60">
        <v>0</v>
      </c>
      <c r="Q35" s="1">
        <f>$G$24</f>
        <v>0.65</v>
      </c>
      <c r="R35" s="3">
        <f>O35*Q35</f>
        <v>3663.330832471444</v>
      </c>
      <c r="S35" s="1">
        <f>P35*Q35</f>
        <v>0</v>
      </c>
    </row>
    <row r="36" spans="1:19" x14ac:dyDescent="0.25">
      <c r="A36" s="1">
        <v>20</v>
      </c>
      <c r="B36" s="3">
        <f>$B$56+(A36/20*($L$20-$B$56))</f>
        <v>239</v>
      </c>
      <c r="C36" s="3">
        <f t="shared" ref="C36:C72" si="0">$G$15*B36</f>
        <v>203.15</v>
      </c>
      <c r="D36" s="1">
        <f t="shared" ref="D36:D54" si="1">0.85*$G$5*C36*$G$8/1000</f>
        <v>4019.9321999999997</v>
      </c>
      <c r="E36" s="59">
        <f t="shared" ref="E36:E72" si="2">ABS(B36-$L$19)/B36*$G$16</f>
        <v>2.2343096234309621E-3</v>
      </c>
      <c r="F36" s="91" t="str">
        <f t="shared" ref="F36:F54" si="3">IF(E36&lt;$G$6/$G$7,"Belum","Sudah")</f>
        <v>Sudah</v>
      </c>
      <c r="G36" s="1">
        <f t="shared" ref="G36:G54" si="4">IF(F36="Sudah",$G$6,E36*$G$7)</f>
        <v>390</v>
      </c>
      <c r="H36" s="91" t="str">
        <f t="shared" ref="H36:H72" si="5">IF(B36&gt;$L$19,"Tekan","Tarik")</f>
        <v>Tekan</v>
      </c>
      <c r="I36" s="3">
        <f t="shared" ref="I36:I72" si="6">$L$13*(G36-$G$15*$G$5)/1000*IF(H36="Tarik",-1,1)</f>
        <v>554.23349276100419</v>
      </c>
      <c r="J36" s="59">
        <f t="shared" ref="J36:J72" si="7">ABS(B36-$L$20)/B36*$G$16</f>
        <v>0</v>
      </c>
      <c r="K36" s="91" t="str">
        <f t="shared" ref="K36:K54" si="8">IF(J36&lt;$G$6/$G$7,"Belum","Sudah")</f>
        <v>Belum</v>
      </c>
      <c r="L36" s="1">
        <f t="shared" ref="L36:L54" si="9">IF(K36="Sudah",$G$6,J36*$G$7)</f>
        <v>0</v>
      </c>
      <c r="M36" s="91" t="str">
        <f t="shared" ref="M36:M72" si="10">IF(B36&gt;$L$20,"Tekan","Tarik")</f>
        <v>Tarik</v>
      </c>
      <c r="N36" s="3">
        <f t="shared" ref="N36:N54" si="11">$L$14*L36/1000*IF(M36="Tarik",-1,1)</f>
        <v>0</v>
      </c>
      <c r="O36" s="3">
        <f t="shared" ref="O36:O72" si="12">(D36+I36+N36)</f>
        <v>4574.1656927610038</v>
      </c>
      <c r="P36" s="60">
        <f t="shared" ref="P36:P72" si="13">(D36*($G$9/2-C36/2)+I36*($G$9/2-$L$19)-N36*ABS($G$9/2-$L$20))/1000</f>
        <v>243.99199764072935</v>
      </c>
      <c r="Q36" s="1">
        <f t="shared" ref="Q36:Q72" si="14">IF(J36&lt;0.002,$G$24,IF(J36&gt;0.005,0.9,0.65+(J36-0.002)*(250/3)))</f>
        <v>0.65</v>
      </c>
      <c r="R36" s="3">
        <f t="shared" ref="R36:R72" si="15">O36*Q36</f>
        <v>2973.2077002946526</v>
      </c>
      <c r="S36" s="3">
        <f>P36*Q36</f>
        <v>158.59479846647409</v>
      </c>
    </row>
    <row r="37" spans="1:19" x14ac:dyDescent="0.25">
      <c r="A37" s="1">
        <v>19</v>
      </c>
      <c r="B37" s="3">
        <f t="shared" ref="B37:B55" si="16">$B$56+(A37/20*($L$20-$B$56))</f>
        <v>234.29242424242423</v>
      </c>
      <c r="C37" s="3">
        <f t="shared" si="0"/>
        <v>199.14856060606058</v>
      </c>
      <c r="D37" s="1">
        <f t="shared" si="1"/>
        <v>3940.7517172727266</v>
      </c>
      <c r="E37" s="59">
        <f t="shared" si="2"/>
        <v>2.218924809064042E-3</v>
      </c>
      <c r="F37" s="91" t="str">
        <f t="shared" si="3"/>
        <v>Sudah</v>
      </c>
      <c r="G37" s="1">
        <f t="shared" si="4"/>
        <v>390</v>
      </c>
      <c r="H37" s="91" t="str">
        <f t="shared" si="5"/>
        <v>Tekan</v>
      </c>
      <c r="I37" s="3">
        <f t="shared" si="6"/>
        <v>554.23349276100419</v>
      </c>
      <c r="J37" s="59">
        <f t="shared" si="7"/>
        <v>6.0278207109737388E-5</v>
      </c>
      <c r="K37" s="91" t="str">
        <f t="shared" si="8"/>
        <v>Belum</v>
      </c>
      <c r="L37" s="1">
        <f t="shared" si="9"/>
        <v>12.055641421947477</v>
      </c>
      <c r="M37" s="91" t="str">
        <f t="shared" si="10"/>
        <v>Tarik</v>
      </c>
      <c r="N37" s="3">
        <f t="shared" si="11"/>
        <v>-18.330974630343455</v>
      </c>
      <c r="O37" s="3">
        <f t="shared" si="12"/>
        <v>4476.6542354033882</v>
      </c>
      <c r="P37" s="60">
        <f t="shared" si="13"/>
        <v>249.67347908837647</v>
      </c>
      <c r="Q37" s="1">
        <f t="shared" si="14"/>
        <v>0.65</v>
      </c>
      <c r="R37" s="3">
        <f t="shared" si="15"/>
        <v>2909.8252530122022</v>
      </c>
      <c r="S37" s="3">
        <f t="shared" ref="S37:S72" si="17">P37*Q37</f>
        <v>162.28776140744472</v>
      </c>
    </row>
    <row r="38" spans="1:19" x14ac:dyDescent="0.25">
      <c r="A38" s="1">
        <v>18</v>
      </c>
      <c r="B38" s="3">
        <f t="shared" si="16"/>
        <v>229.58484848484849</v>
      </c>
      <c r="C38" s="3">
        <f t="shared" si="0"/>
        <v>195.14712121212122</v>
      </c>
      <c r="D38" s="1">
        <f t="shared" si="1"/>
        <v>3861.5712345454544</v>
      </c>
      <c r="E38" s="59">
        <f t="shared" si="2"/>
        <v>2.2029090717104655E-3</v>
      </c>
      <c r="F38" s="91" t="str">
        <f t="shared" si="3"/>
        <v>Sudah</v>
      </c>
      <c r="G38" s="1">
        <f t="shared" si="4"/>
        <v>390</v>
      </c>
      <c r="H38" s="91" t="str">
        <f t="shared" si="5"/>
        <v>Tekan</v>
      </c>
      <c r="I38" s="3">
        <f t="shared" si="6"/>
        <v>554.23349276100419</v>
      </c>
      <c r="J38" s="59">
        <f t="shared" si="7"/>
        <v>1.2302839116719232E-4</v>
      </c>
      <c r="K38" s="91" t="str">
        <f t="shared" si="8"/>
        <v>Belum</v>
      </c>
      <c r="L38" s="1">
        <f t="shared" si="9"/>
        <v>24.605678233438464</v>
      </c>
      <c r="M38" s="91" t="str">
        <f t="shared" si="10"/>
        <v>Tarik</v>
      </c>
      <c r="N38" s="3">
        <f t="shared" si="11"/>
        <v>-37.413692699786047</v>
      </c>
      <c r="O38" s="3">
        <f t="shared" si="12"/>
        <v>4378.3910346066723</v>
      </c>
      <c r="P38" s="60">
        <f t="shared" si="13"/>
        <v>255.10502979928731</v>
      </c>
      <c r="Q38" s="1">
        <f t="shared" si="14"/>
        <v>0.65</v>
      </c>
      <c r="R38" s="3">
        <f t="shared" si="15"/>
        <v>2845.9541724943369</v>
      </c>
      <c r="S38" s="3">
        <f t="shared" si="17"/>
        <v>165.81826936953675</v>
      </c>
    </row>
    <row r="39" spans="1:19" x14ac:dyDescent="0.25">
      <c r="A39" s="1">
        <v>17</v>
      </c>
      <c r="B39" s="3">
        <f t="shared" si="16"/>
        <v>224.87727272727273</v>
      </c>
      <c r="C39" s="3">
        <f t="shared" si="0"/>
        <v>191.1456818181818</v>
      </c>
      <c r="D39" s="1">
        <f t="shared" si="1"/>
        <v>3782.3907518181813</v>
      </c>
      <c r="E39" s="59">
        <f t="shared" si="2"/>
        <v>2.186222788187496E-3</v>
      </c>
      <c r="F39" s="91" t="str">
        <f t="shared" si="3"/>
        <v>Sudah</v>
      </c>
      <c r="G39" s="1">
        <f t="shared" si="4"/>
        <v>390</v>
      </c>
      <c r="H39" s="91" t="str">
        <f t="shared" si="5"/>
        <v>Tekan</v>
      </c>
      <c r="I39" s="3">
        <f t="shared" si="6"/>
        <v>554.23349276100419</v>
      </c>
      <c r="J39" s="59">
        <f t="shared" si="7"/>
        <v>1.8840579710144932E-4</v>
      </c>
      <c r="K39" s="91" t="str">
        <f t="shared" si="8"/>
        <v>Belum</v>
      </c>
      <c r="L39" s="1">
        <f t="shared" si="9"/>
        <v>37.681159420289866</v>
      </c>
      <c r="M39" s="91" t="str">
        <f t="shared" si="10"/>
        <v>Tarik</v>
      </c>
      <c r="N39" s="3">
        <f t="shared" si="11"/>
        <v>-57.295365148947788</v>
      </c>
      <c r="O39" s="3">
        <f t="shared" si="12"/>
        <v>4279.328879430238</v>
      </c>
      <c r="P39" s="60">
        <f t="shared" si="13"/>
        <v>260.29085154717717</v>
      </c>
      <c r="Q39" s="1">
        <f t="shared" si="14"/>
        <v>0.65</v>
      </c>
      <c r="R39" s="3">
        <f t="shared" si="15"/>
        <v>2781.5637716296546</v>
      </c>
      <c r="S39" s="3">
        <f t="shared" si="17"/>
        <v>169.18905350566516</v>
      </c>
    </row>
    <row r="40" spans="1:19" x14ac:dyDescent="0.25">
      <c r="A40" s="1">
        <v>16</v>
      </c>
      <c r="B40" s="3">
        <f t="shared" si="16"/>
        <v>220.16969696969699</v>
      </c>
      <c r="C40" s="3">
        <f t="shared" si="0"/>
        <v>187.14424242424244</v>
      </c>
      <c r="D40" s="1">
        <f t="shared" si="1"/>
        <v>3703.2102690909092</v>
      </c>
      <c r="E40" s="59">
        <f t="shared" si="2"/>
        <v>2.168822946487558E-3</v>
      </c>
      <c r="F40" s="91" t="str">
        <f t="shared" si="3"/>
        <v>Sudah</v>
      </c>
      <c r="G40" s="1">
        <f t="shared" si="4"/>
        <v>390</v>
      </c>
      <c r="H40" s="91" t="str">
        <f t="shared" si="5"/>
        <v>Tekan</v>
      </c>
      <c r="I40" s="3">
        <f t="shared" si="6"/>
        <v>554.23349276100419</v>
      </c>
      <c r="J40" s="59">
        <f t="shared" si="7"/>
        <v>2.5657894736842084E-4</v>
      </c>
      <c r="K40" s="91" t="str">
        <f t="shared" si="8"/>
        <v>Belum</v>
      </c>
      <c r="L40" s="1">
        <f t="shared" si="9"/>
        <v>51.31578947368417</v>
      </c>
      <c r="M40" s="91" t="str">
        <f t="shared" si="10"/>
        <v>Tarik</v>
      </c>
      <c r="N40" s="3">
        <f t="shared" si="11"/>
        <v>-78.027240696264329</v>
      </c>
      <c r="O40" s="3">
        <f t="shared" si="12"/>
        <v>4179.4165211556492</v>
      </c>
      <c r="P40" s="60">
        <f t="shared" si="13"/>
        <v>265.23550546798668</v>
      </c>
      <c r="Q40" s="1">
        <f t="shared" si="14"/>
        <v>0.65</v>
      </c>
      <c r="R40" s="3">
        <f t="shared" si="15"/>
        <v>2716.6207387511722</v>
      </c>
      <c r="S40" s="3">
        <f t="shared" si="17"/>
        <v>172.40307855419135</v>
      </c>
    </row>
    <row r="41" spans="1:19" x14ac:dyDescent="0.25">
      <c r="A41" s="1">
        <v>15</v>
      </c>
      <c r="B41" s="3">
        <f t="shared" si="16"/>
        <v>215.46212121212122</v>
      </c>
      <c r="C41" s="3">
        <f t="shared" si="0"/>
        <v>183.14280303030304</v>
      </c>
      <c r="D41" s="1">
        <f t="shared" si="1"/>
        <v>3624.0297863636365</v>
      </c>
      <c r="E41" s="59">
        <f t="shared" si="2"/>
        <v>2.1506627755704792E-3</v>
      </c>
      <c r="F41" s="91" t="str">
        <f t="shared" si="3"/>
        <v>Sudah</v>
      </c>
      <c r="G41" s="1">
        <f t="shared" si="4"/>
        <v>390</v>
      </c>
      <c r="H41" s="91" t="str">
        <f t="shared" si="5"/>
        <v>Tekan</v>
      </c>
      <c r="I41" s="3">
        <f t="shared" si="6"/>
        <v>554.23349276100419</v>
      </c>
      <c r="J41" s="59">
        <f t="shared" si="7"/>
        <v>3.2773109243697474E-4</v>
      </c>
      <c r="K41" s="91" t="str">
        <f t="shared" si="8"/>
        <v>Belum</v>
      </c>
      <c r="L41" s="1">
        <f t="shared" si="9"/>
        <v>65.546218487394952</v>
      </c>
      <c r="M41" s="91" t="str">
        <f t="shared" si="10"/>
        <v>Tarik</v>
      </c>
      <c r="N41" s="3">
        <f t="shared" si="11"/>
        <v>-99.66504693976627</v>
      </c>
      <c r="O41" s="3">
        <f t="shared" si="12"/>
        <v>4078.5982321848742</v>
      </c>
      <c r="P41" s="60">
        <f t="shared" si="13"/>
        <v>269.94395131794073</v>
      </c>
      <c r="Q41" s="1">
        <f t="shared" si="14"/>
        <v>0.65</v>
      </c>
      <c r="R41" s="3">
        <f t="shared" si="15"/>
        <v>2651.0888509201682</v>
      </c>
      <c r="S41" s="3">
        <f t="shared" si="17"/>
        <v>175.46356835666148</v>
      </c>
    </row>
    <row r="42" spans="1:19" x14ac:dyDescent="0.25">
      <c r="A42" s="1">
        <v>14</v>
      </c>
      <c r="B42" s="3">
        <f t="shared" si="16"/>
        <v>210.75454545454545</v>
      </c>
      <c r="C42" s="3">
        <f t="shared" si="0"/>
        <v>179.14136363636362</v>
      </c>
      <c r="D42" s="1">
        <f t="shared" si="1"/>
        <v>3544.8493036363639</v>
      </c>
      <c r="E42" s="59">
        <f t="shared" si="2"/>
        <v>2.1316913255402664E-3</v>
      </c>
      <c r="F42" s="91" t="str">
        <f t="shared" si="3"/>
        <v>Sudah</v>
      </c>
      <c r="G42" s="1">
        <f t="shared" si="4"/>
        <v>390</v>
      </c>
      <c r="H42" s="91" t="str">
        <f t="shared" si="5"/>
        <v>Tekan</v>
      </c>
      <c r="I42" s="3">
        <f t="shared" si="6"/>
        <v>554.23349276100419</v>
      </c>
      <c r="J42" s="59">
        <f t="shared" si="7"/>
        <v>4.0206185567010318E-4</v>
      </c>
      <c r="K42" s="91" t="str">
        <f t="shared" si="8"/>
        <v>Belum</v>
      </c>
      <c r="L42" s="1">
        <f t="shared" si="9"/>
        <v>80.412371134020631</v>
      </c>
      <c r="M42" s="91" t="str">
        <f t="shared" si="10"/>
        <v>Tarik</v>
      </c>
      <c r="N42" s="3">
        <f t="shared" si="11"/>
        <v>-122.26949057558957</v>
      </c>
      <c r="O42" s="3">
        <f t="shared" si="12"/>
        <v>3976.8133058217782</v>
      </c>
      <c r="P42" s="60">
        <f t="shared" si="13"/>
        <v>274.42159199299533</v>
      </c>
      <c r="Q42" s="1">
        <f t="shared" si="14"/>
        <v>0.65</v>
      </c>
      <c r="R42" s="3">
        <f t="shared" si="15"/>
        <v>2584.9286487841559</v>
      </c>
      <c r="S42" s="3">
        <f t="shared" si="17"/>
        <v>178.37403479544696</v>
      </c>
    </row>
    <row r="43" spans="1:19" x14ac:dyDescent="0.25">
      <c r="A43" s="1">
        <v>13</v>
      </c>
      <c r="B43" s="3">
        <f t="shared" si="16"/>
        <v>206.04696969696971</v>
      </c>
      <c r="C43" s="3">
        <f t="shared" si="0"/>
        <v>175.13992424242426</v>
      </c>
      <c r="D43" s="1">
        <f t="shared" si="1"/>
        <v>3465.6688209090912</v>
      </c>
      <c r="E43" s="59">
        <f t="shared" si="2"/>
        <v>2.1118529902714152E-3</v>
      </c>
      <c r="F43" s="91" t="str">
        <f t="shared" si="3"/>
        <v>Sudah</v>
      </c>
      <c r="G43" s="1">
        <f t="shared" si="4"/>
        <v>390</v>
      </c>
      <c r="H43" s="91" t="str">
        <f t="shared" si="5"/>
        <v>Tekan</v>
      </c>
      <c r="I43" s="3">
        <f t="shared" si="6"/>
        <v>554.23349276100419</v>
      </c>
      <c r="J43" s="59">
        <f t="shared" si="7"/>
        <v>4.7978910369068521E-4</v>
      </c>
      <c r="K43" s="91" t="str">
        <f t="shared" si="8"/>
        <v>Belum</v>
      </c>
      <c r="L43" s="1">
        <f t="shared" si="9"/>
        <v>95.957820738137045</v>
      </c>
      <c r="M43" s="91" t="str">
        <f t="shared" si="10"/>
        <v>Tarik</v>
      </c>
      <c r="N43" s="3">
        <f t="shared" si="11"/>
        <v>-145.90682618774215</v>
      </c>
      <c r="O43" s="3">
        <f t="shared" si="12"/>
        <v>3873.9954874823529</v>
      </c>
      <c r="P43" s="60">
        <f t="shared" si="13"/>
        <v>278.67432415112705</v>
      </c>
      <c r="Q43" s="1">
        <f t="shared" si="14"/>
        <v>0.65</v>
      </c>
      <c r="R43" s="3">
        <f t="shared" si="15"/>
        <v>2518.0970668635296</v>
      </c>
      <c r="S43" s="3">
        <f t="shared" si="17"/>
        <v>181.1383106982326</v>
      </c>
    </row>
    <row r="44" spans="1:19" x14ac:dyDescent="0.25">
      <c r="A44" s="1">
        <v>12</v>
      </c>
      <c r="B44" s="3">
        <f t="shared" si="16"/>
        <v>201.33939393939394</v>
      </c>
      <c r="C44" s="3">
        <f t="shared" si="0"/>
        <v>171.13848484848484</v>
      </c>
      <c r="D44" s="1">
        <f t="shared" si="1"/>
        <v>3386.4883381818181</v>
      </c>
      <c r="E44" s="59">
        <f t="shared" si="2"/>
        <v>2.0910869630655308E-3</v>
      </c>
      <c r="F44" s="91" t="str">
        <f t="shared" si="3"/>
        <v>Sudah</v>
      </c>
      <c r="G44" s="1">
        <f t="shared" si="4"/>
        <v>390</v>
      </c>
      <c r="H44" s="91" t="str">
        <f t="shared" si="5"/>
        <v>Tekan</v>
      </c>
      <c r="I44" s="3">
        <f t="shared" si="6"/>
        <v>554.23349276100419</v>
      </c>
      <c r="J44" s="59">
        <f t="shared" si="7"/>
        <v>5.6115107913669055E-4</v>
      </c>
      <c r="K44" s="91" t="str">
        <f t="shared" si="8"/>
        <v>Belum</v>
      </c>
      <c r="L44" s="1">
        <f t="shared" si="9"/>
        <v>112.23021582733811</v>
      </c>
      <c r="M44" s="91" t="str">
        <f t="shared" si="10"/>
        <v>Tarik</v>
      </c>
      <c r="N44" s="3">
        <f t="shared" si="11"/>
        <v>-170.6495048321178</v>
      </c>
      <c r="O44" s="3">
        <f t="shared" si="12"/>
        <v>3770.0723261107046</v>
      </c>
      <c r="P44" s="60">
        <f t="shared" si="13"/>
        <v>282.7085959363107</v>
      </c>
      <c r="Q44" s="1">
        <f t="shared" si="14"/>
        <v>0.65</v>
      </c>
      <c r="R44" s="3">
        <f t="shared" si="15"/>
        <v>2450.547011971958</v>
      </c>
      <c r="S44" s="3">
        <f t="shared" si="17"/>
        <v>183.76058735860195</v>
      </c>
    </row>
    <row r="45" spans="1:19" x14ac:dyDescent="0.25">
      <c r="A45" s="1">
        <v>11</v>
      </c>
      <c r="B45" s="3">
        <f t="shared" si="16"/>
        <v>196.63181818181818</v>
      </c>
      <c r="C45" s="3">
        <f t="shared" si="0"/>
        <v>167.13704545454544</v>
      </c>
      <c r="D45" s="1">
        <f t="shared" si="1"/>
        <v>3307.307855454545</v>
      </c>
      <c r="E45" s="59">
        <f t="shared" si="2"/>
        <v>2.0693266141149818E-3</v>
      </c>
      <c r="F45" s="91" t="str">
        <f t="shared" si="3"/>
        <v>Sudah</v>
      </c>
      <c r="G45" s="1">
        <f t="shared" si="4"/>
        <v>390</v>
      </c>
      <c r="H45" s="91" t="str">
        <f t="shared" si="5"/>
        <v>Tekan</v>
      </c>
      <c r="I45" s="3">
        <f t="shared" si="6"/>
        <v>554.23349276100419</v>
      </c>
      <c r="J45" s="59">
        <f t="shared" si="7"/>
        <v>6.4640883977900567E-4</v>
      </c>
      <c r="K45" s="91" t="str">
        <f t="shared" si="8"/>
        <v>Belum</v>
      </c>
      <c r="L45" s="1">
        <f t="shared" si="9"/>
        <v>129.28176795580114</v>
      </c>
      <c r="M45" s="91" t="str">
        <f t="shared" si="10"/>
        <v>Tarik</v>
      </c>
      <c r="N45" s="3">
        <f t="shared" si="11"/>
        <v>-196.57691578727386</v>
      </c>
      <c r="O45" s="3">
        <f t="shared" si="12"/>
        <v>3664.9644324282754</v>
      </c>
      <c r="P45" s="60">
        <f t="shared" si="13"/>
        <v>286.53147299433772</v>
      </c>
      <c r="Q45" s="1">
        <f t="shared" si="14"/>
        <v>0.65</v>
      </c>
      <c r="R45" s="3">
        <f t="shared" si="15"/>
        <v>2382.2268810783789</v>
      </c>
      <c r="S45" s="3">
        <f t="shared" si="17"/>
        <v>186.24545744631953</v>
      </c>
    </row>
    <row r="46" spans="1:19" x14ac:dyDescent="0.25">
      <c r="A46" s="1">
        <v>10</v>
      </c>
      <c r="B46" s="3">
        <f t="shared" si="16"/>
        <v>191.92424242424244</v>
      </c>
      <c r="C46" s="3">
        <f t="shared" si="0"/>
        <v>163.13560606060608</v>
      </c>
      <c r="D46" s="1">
        <f t="shared" si="1"/>
        <v>3228.1273727272737</v>
      </c>
      <c r="E46" s="59">
        <f t="shared" si="2"/>
        <v>2.046498776347991E-3</v>
      </c>
      <c r="F46" s="91" t="str">
        <f t="shared" si="3"/>
        <v>Sudah</v>
      </c>
      <c r="G46" s="1">
        <f t="shared" si="4"/>
        <v>390</v>
      </c>
      <c r="H46" s="91" t="str">
        <f t="shared" si="5"/>
        <v>Tekan</v>
      </c>
      <c r="I46" s="3">
        <f t="shared" si="6"/>
        <v>554.23349276100419</v>
      </c>
      <c r="J46" s="59">
        <f t="shared" si="7"/>
        <v>7.3584905660377333E-4</v>
      </c>
      <c r="K46" s="91" t="str">
        <f t="shared" si="8"/>
        <v>Belum</v>
      </c>
      <c r="L46" s="1">
        <f t="shared" si="9"/>
        <v>147.16981132075466</v>
      </c>
      <c r="M46" s="91" t="str">
        <f t="shared" si="10"/>
        <v>Tarik</v>
      </c>
      <c r="N46" s="3">
        <f t="shared" si="11"/>
        <v>-223.77623746853178</v>
      </c>
      <c r="O46" s="3">
        <f t="shared" si="12"/>
        <v>3558.5846280197461</v>
      </c>
      <c r="P46" s="60">
        <f t="shared" si="13"/>
        <v>290.15071420417189</v>
      </c>
      <c r="Q46" s="1">
        <f t="shared" si="14"/>
        <v>0.65</v>
      </c>
      <c r="R46" s="3">
        <f t="shared" si="15"/>
        <v>2313.0800082128349</v>
      </c>
      <c r="S46" s="3">
        <f t="shared" si="17"/>
        <v>188.59796423271175</v>
      </c>
    </row>
    <row r="47" spans="1:19" x14ac:dyDescent="0.25">
      <c r="A47" s="1">
        <v>9</v>
      </c>
      <c r="B47" s="3">
        <f t="shared" si="16"/>
        <v>187.21666666666667</v>
      </c>
      <c r="C47" s="3">
        <f t="shared" si="0"/>
        <v>159.13416666666666</v>
      </c>
      <c r="D47" s="1">
        <f t="shared" si="1"/>
        <v>3148.9468900000002</v>
      </c>
      <c r="E47" s="59">
        <f t="shared" si="2"/>
        <v>2.022522923528888E-3</v>
      </c>
      <c r="F47" s="91" t="str">
        <f t="shared" si="3"/>
        <v>Sudah</v>
      </c>
      <c r="G47" s="1">
        <f t="shared" si="4"/>
        <v>390</v>
      </c>
      <c r="H47" s="91" t="str">
        <f t="shared" si="5"/>
        <v>Tekan</v>
      </c>
      <c r="I47" s="3">
        <f t="shared" si="6"/>
        <v>554.23349276100419</v>
      </c>
      <c r="J47" s="59">
        <f t="shared" si="7"/>
        <v>8.2978723404255326E-4</v>
      </c>
      <c r="K47" s="91" t="str">
        <f t="shared" si="8"/>
        <v>Belum</v>
      </c>
      <c r="L47" s="1">
        <f t="shared" si="9"/>
        <v>165.95744680851064</v>
      </c>
      <c r="M47" s="91" t="str">
        <f t="shared" si="10"/>
        <v>Tarik</v>
      </c>
      <c r="N47" s="3">
        <f t="shared" si="11"/>
        <v>-252.34341671983375</v>
      </c>
      <c r="O47" s="3">
        <f t="shared" si="12"/>
        <v>3450.8369660411704</v>
      </c>
      <c r="P47" s="60">
        <f t="shared" si="13"/>
        <v>293.57485883492376</v>
      </c>
      <c r="Q47" s="1">
        <f t="shared" si="14"/>
        <v>0.65</v>
      </c>
      <c r="R47" s="3">
        <f t="shared" si="15"/>
        <v>2243.0440279267609</v>
      </c>
      <c r="S47" s="3">
        <f t="shared" si="17"/>
        <v>190.82365824270045</v>
      </c>
    </row>
    <row r="48" spans="1:19" x14ac:dyDescent="0.25">
      <c r="A48" s="1">
        <v>8</v>
      </c>
      <c r="B48" s="3">
        <f t="shared" si="16"/>
        <v>182.5090909090909</v>
      </c>
      <c r="C48" s="3">
        <f t="shared" si="0"/>
        <v>155.13272727272727</v>
      </c>
      <c r="D48" s="1">
        <f t="shared" si="1"/>
        <v>3069.7664072727271</v>
      </c>
      <c r="E48" s="59">
        <f t="shared" si="2"/>
        <v>1.9973102211595936E-3</v>
      </c>
      <c r="F48" s="91" t="str">
        <f t="shared" si="3"/>
        <v>Sudah</v>
      </c>
      <c r="G48" s="1">
        <f t="shared" si="4"/>
        <v>390</v>
      </c>
      <c r="H48" s="91" t="str">
        <f t="shared" si="5"/>
        <v>Tekan</v>
      </c>
      <c r="I48" s="3">
        <f t="shared" si="6"/>
        <v>554.23349276100419</v>
      </c>
      <c r="J48" s="59">
        <f t="shared" si="7"/>
        <v>9.2857142857142878E-4</v>
      </c>
      <c r="K48" s="91" t="str">
        <f t="shared" si="8"/>
        <v>Belum</v>
      </c>
      <c r="L48" s="1">
        <f t="shared" si="9"/>
        <v>185.71428571428575</v>
      </c>
      <c r="M48" s="91" t="str">
        <f t="shared" si="10"/>
        <v>Tarik</v>
      </c>
      <c r="N48" s="3">
        <f t="shared" si="11"/>
        <v>-282.3842996626712</v>
      </c>
      <c r="O48" s="3">
        <f t="shared" si="12"/>
        <v>3341.6156003710598</v>
      </c>
      <c r="P48" s="60">
        <f t="shared" si="13"/>
        <v>296.8133271914063</v>
      </c>
      <c r="Q48" s="1">
        <f t="shared" si="14"/>
        <v>0.65</v>
      </c>
      <c r="R48" s="3">
        <f t="shared" si="15"/>
        <v>2172.0501402411892</v>
      </c>
      <c r="S48" s="3">
        <f t="shared" si="17"/>
        <v>192.92866267441411</v>
      </c>
    </row>
    <row r="49" spans="1:19" x14ac:dyDescent="0.25">
      <c r="A49" s="1">
        <v>7</v>
      </c>
      <c r="B49" s="3">
        <f t="shared" si="16"/>
        <v>177.80151515151516</v>
      </c>
      <c r="C49" s="3">
        <f t="shared" si="0"/>
        <v>151.13128787878787</v>
      </c>
      <c r="D49" s="1">
        <f t="shared" si="1"/>
        <v>2990.5859245454544</v>
      </c>
      <c r="E49" s="59">
        <f t="shared" si="2"/>
        <v>1.9707624266078107E-3</v>
      </c>
      <c r="F49" s="91" t="str">
        <f t="shared" si="3"/>
        <v>Sudah</v>
      </c>
      <c r="G49" s="1">
        <f t="shared" si="4"/>
        <v>390</v>
      </c>
      <c r="H49" s="91" t="str">
        <f t="shared" si="5"/>
        <v>Tekan</v>
      </c>
      <c r="I49" s="3">
        <f t="shared" si="6"/>
        <v>554.23349276100419</v>
      </c>
      <c r="J49" s="59">
        <f t="shared" si="7"/>
        <v>1.0325865580448064E-3</v>
      </c>
      <c r="K49" s="91" t="str">
        <f t="shared" si="8"/>
        <v>Belum</v>
      </c>
      <c r="L49" s="1">
        <f t="shared" si="9"/>
        <v>206.51731160896128</v>
      </c>
      <c r="M49" s="91" t="str">
        <f t="shared" si="10"/>
        <v>Tarik</v>
      </c>
      <c r="N49" s="3">
        <f t="shared" si="11"/>
        <v>-314.01594219107625</v>
      </c>
      <c r="O49" s="3">
        <f t="shared" si="12"/>
        <v>3230.8034751153823</v>
      </c>
      <c r="P49" s="60">
        <f t="shared" si="13"/>
        <v>299.8765372481883</v>
      </c>
      <c r="Q49" s="1">
        <f t="shared" si="14"/>
        <v>0.65</v>
      </c>
      <c r="R49" s="3">
        <f t="shared" si="15"/>
        <v>2100.0222588249985</v>
      </c>
      <c r="S49" s="3">
        <f t="shared" si="17"/>
        <v>194.9197492113224</v>
      </c>
    </row>
    <row r="50" spans="1:19" x14ac:dyDescent="0.25">
      <c r="A50" s="1">
        <v>6</v>
      </c>
      <c r="B50" s="3">
        <f t="shared" si="16"/>
        <v>173.09393939393939</v>
      </c>
      <c r="C50" s="3">
        <f t="shared" si="0"/>
        <v>147.12984848484848</v>
      </c>
      <c r="D50" s="1">
        <f t="shared" si="1"/>
        <v>2911.4054418181818</v>
      </c>
      <c r="E50" s="59">
        <f t="shared" si="2"/>
        <v>1.9427706097582325E-3</v>
      </c>
      <c r="F50" s="91" t="str">
        <f t="shared" si="3"/>
        <v>Belum</v>
      </c>
      <c r="G50" s="1">
        <f t="shared" si="4"/>
        <v>388.55412195164649</v>
      </c>
      <c r="H50" s="91" t="str">
        <f t="shared" si="5"/>
        <v>Tekan</v>
      </c>
      <c r="I50" s="3">
        <f t="shared" si="6"/>
        <v>552.03499059133219</v>
      </c>
      <c r="J50" s="59">
        <f t="shared" si="7"/>
        <v>1.1422594142259414E-3</v>
      </c>
      <c r="K50" s="91" t="str">
        <f t="shared" si="8"/>
        <v>Belum</v>
      </c>
      <c r="L50" s="1">
        <f t="shared" si="9"/>
        <v>228.45188284518827</v>
      </c>
      <c r="M50" s="91" t="str">
        <f t="shared" si="10"/>
        <v>Tarik</v>
      </c>
      <c r="N50" s="3">
        <f t="shared" si="11"/>
        <v>-347.36813431307661</v>
      </c>
      <c r="O50" s="3">
        <f t="shared" si="12"/>
        <v>3116.0722980964374</v>
      </c>
      <c r="P50" s="60">
        <f t="shared" si="13"/>
        <v>302.58037362288343</v>
      </c>
      <c r="Q50" s="1">
        <f t="shared" si="14"/>
        <v>0.65</v>
      </c>
      <c r="R50" s="3">
        <f t="shared" si="15"/>
        <v>2025.4469937626843</v>
      </c>
      <c r="S50" s="3">
        <f t="shared" si="17"/>
        <v>196.67724285487424</v>
      </c>
    </row>
    <row r="51" spans="1:19" x14ac:dyDescent="0.25">
      <c r="A51" s="1">
        <v>5</v>
      </c>
      <c r="B51" s="3">
        <f t="shared" si="16"/>
        <v>168.38636363636363</v>
      </c>
      <c r="C51" s="3">
        <f t="shared" si="0"/>
        <v>143.12840909090909</v>
      </c>
      <c r="D51" s="1">
        <f t="shared" si="1"/>
        <v>2832.2249590909091</v>
      </c>
      <c r="E51" s="59">
        <f t="shared" si="2"/>
        <v>1.9132136590633013E-3</v>
      </c>
      <c r="F51" s="91" t="str">
        <f t="shared" si="3"/>
        <v>Belum</v>
      </c>
      <c r="G51" s="1">
        <f t="shared" si="4"/>
        <v>382.64273181266026</v>
      </c>
      <c r="H51" s="91" t="str">
        <f t="shared" si="5"/>
        <v>Tekan</v>
      </c>
      <c r="I51" s="3">
        <f t="shared" si="6"/>
        <v>543.0465395520913</v>
      </c>
      <c r="J51" s="59">
        <f t="shared" si="7"/>
        <v>1.2580645161290325E-3</v>
      </c>
      <c r="K51" s="91" t="str">
        <f t="shared" si="8"/>
        <v>Belum</v>
      </c>
      <c r="L51" s="1">
        <f t="shared" si="9"/>
        <v>251.61290322580649</v>
      </c>
      <c r="M51" s="91" t="str">
        <f t="shared" si="10"/>
        <v>Tarik</v>
      </c>
      <c r="N51" s="3">
        <f t="shared" si="11"/>
        <v>-382.58518018813515</v>
      </c>
      <c r="O51" s="3">
        <f t="shared" si="12"/>
        <v>2992.6863184548656</v>
      </c>
      <c r="P51" s="60">
        <f t="shared" si="13"/>
        <v>304.52904062939308</v>
      </c>
      <c r="Q51" s="1">
        <f t="shared" si="14"/>
        <v>0.65</v>
      </c>
      <c r="R51" s="3">
        <f t="shared" si="15"/>
        <v>1945.2461069956628</v>
      </c>
      <c r="S51" s="3">
        <f t="shared" si="17"/>
        <v>197.94387640910551</v>
      </c>
    </row>
    <row r="52" spans="1:19" x14ac:dyDescent="0.25">
      <c r="A52" s="1">
        <v>4</v>
      </c>
      <c r="B52" s="3">
        <f t="shared" si="16"/>
        <v>163.67878787878789</v>
      </c>
      <c r="C52" s="3">
        <f t="shared" si="0"/>
        <v>139.1269696969697</v>
      </c>
      <c r="D52" s="1">
        <f t="shared" si="1"/>
        <v>2753.044476363636</v>
      </c>
      <c r="E52" s="59">
        <f t="shared" si="2"/>
        <v>1.8819565297885734E-3</v>
      </c>
      <c r="F52" s="91" t="str">
        <f t="shared" si="3"/>
        <v>Belum</v>
      </c>
      <c r="G52" s="1">
        <f t="shared" si="4"/>
        <v>376.39130595771468</v>
      </c>
      <c r="H52" s="91" t="str">
        <f t="shared" si="5"/>
        <v>Tekan</v>
      </c>
      <c r="I52" s="3">
        <f t="shared" si="6"/>
        <v>533.54105371855792</v>
      </c>
      <c r="J52" s="59">
        <f t="shared" si="7"/>
        <v>1.3805309734513272E-3</v>
      </c>
      <c r="K52" s="91" t="str">
        <f t="shared" si="8"/>
        <v>Belum</v>
      </c>
      <c r="L52" s="1">
        <f t="shared" si="9"/>
        <v>276.10619469026545</v>
      </c>
      <c r="M52" s="91" t="str">
        <f t="shared" si="10"/>
        <v>Tarik</v>
      </c>
      <c r="N52" s="3">
        <f t="shared" si="11"/>
        <v>-419.82798533919242</v>
      </c>
      <c r="O52" s="3">
        <f t="shared" si="12"/>
        <v>2866.7575447430017</v>
      </c>
      <c r="P52" s="60">
        <f t="shared" si="13"/>
        <v>306.29514821195846</v>
      </c>
      <c r="Q52" s="1">
        <f t="shared" si="14"/>
        <v>0.65</v>
      </c>
      <c r="R52" s="3">
        <f t="shared" si="15"/>
        <v>1863.3924040829511</v>
      </c>
      <c r="S52" s="3">
        <f t="shared" si="17"/>
        <v>199.09184633777301</v>
      </c>
    </row>
    <row r="53" spans="1:19" x14ac:dyDescent="0.25">
      <c r="A53" s="1">
        <v>3</v>
      </c>
      <c r="B53" s="3">
        <f t="shared" si="16"/>
        <v>158.97121212121212</v>
      </c>
      <c r="C53" s="3">
        <f t="shared" si="0"/>
        <v>135.1255303030303</v>
      </c>
      <c r="D53" s="1">
        <f t="shared" si="1"/>
        <v>2673.8639936363638</v>
      </c>
      <c r="E53" s="59">
        <f t="shared" si="2"/>
        <v>1.8488481810123808E-3</v>
      </c>
      <c r="F53" s="91" t="str">
        <f t="shared" si="3"/>
        <v>Belum</v>
      </c>
      <c r="G53" s="1">
        <f t="shared" si="4"/>
        <v>369.76963620247614</v>
      </c>
      <c r="H53" s="91" t="str">
        <f t="shared" si="5"/>
        <v>Tekan</v>
      </c>
      <c r="I53" s="3">
        <f t="shared" si="6"/>
        <v>523.47260061470126</v>
      </c>
      <c r="J53" s="59">
        <f t="shared" si="7"/>
        <v>1.5102505694760823E-3</v>
      </c>
      <c r="K53" s="91" t="str">
        <f t="shared" si="8"/>
        <v>Belum</v>
      </c>
      <c r="L53" s="1">
        <f t="shared" si="9"/>
        <v>302.05011389521644</v>
      </c>
      <c r="M53" s="91" t="str">
        <f t="shared" si="10"/>
        <v>Tarik</v>
      </c>
      <c r="N53" s="3">
        <f t="shared" si="11"/>
        <v>-459.27651471331939</v>
      </c>
      <c r="O53" s="3">
        <f t="shared" si="12"/>
        <v>2738.0600795377454</v>
      </c>
      <c r="P53" s="60">
        <f t="shared" si="13"/>
        <v>307.89062526050242</v>
      </c>
      <c r="Q53" s="1">
        <f t="shared" si="14"/>
        <v>0.65</v>
      </c>
      <c r="R53" s="3">
        <f t="shared" si="15"/>
        <v>1779.7390516995347</v>
      </c>
      <c r="S53" s="3">
        <f t="shared" si="17"/>
        <v>200.12890641932657</v>
      </c>
    </row>
    <row r="54" spans="1:19" x14ac:dyDescent="0.25">
      <c r="A54" s="1">
        <v>2</v>
      </c>
      <c r="B54" s="3">
        <f t="shared" si="16"/>
        <v>154.26363636363635</v>
      </c>
      <c r="C54" s="3">
        <f t="shared" si="0"/>
        <v>131.12409090909088</v>
      </c>
      <c r="D54" s="1">
        <f t="shared" si="1"/>
        <v>2594.6835109090903</v>
      </c>
      <c r="E54" s="59">
        <f t="shared" si="2"/>
        <v>1.8137191348930402E-3</v>
      </c>
      <c r="F54" s="91" t="str">
        <f t="shared" si="3"/>
        <v>Belum</v>
      </c>
      <c r="G54" s="1">
        <f t="shared" si="4"/>
        <v>362.74382697860801</v>
      </c>
      <c r="H54" s="91" t="str">
        <f t="shared" si="5"/>
        <v>Tekan</v>
      </c>
      <c r="I54" s="3">
        <f t="shared" si="6"/>
        <v>512.78964098337906</v>
      </c>
      <c r="J54" s="59">
        <f t="shared" si="7"/>
        <v>1.6478873239436625E-3</v>
      </c>
      <c r="K54" s="91" t="str">
        <f t="shared" si="8"/>
        <v>Belum</v>
      </c>
      <c r="L54" s="1">
        <f t="shared" si="9"/>
        <v>329.57746478873247</v>
      </c>
      <c r="M54" s="91" t="str">
        <f t="shared" si="10"/>
        <v>Tarik</v>
      </c>
      <c r="N54" s="3">
        <f t="shared" si="11"/>
        <v>-501.13270080981084</v>
      </c>
      <c r="O54" s="3">
        <f t="shared" si="12"/>
        <v>2606.3404510826581</v>
      </c>
      <c r="P54" s="60">
        <f t="shared" si="13"/>
        <v>309.32885677357609</v>
      </c>
      <c r="Q54" s="1">
        <f t="shared" si="14"/>
        <v>0.65</v>
      </c>
      <c r="R54" s="3">
        <f t="shared" si="15"/>
        <v>1694.1212932037279</v>
      </c>
      <c r="S54" s="3">
        <f t="shared" si="17"/>
        <v>201.06375690282448</v>
      </c>
    </row>
    <row r="55" spans="1:19" x14ac:dyDescent="0.25">
      <c r="A55" s="1">
        <v>1</v>
      </c>
      <c r="B55" s="3">
        <f t="shared" si="16"/>
        <v>149.55606060606061</v>
      </c>
      <c r="C55" s="3">
        <f t="shared" si="0"/>
        <v>127.12265151515152</v>
      </c>
      <c r="D55" s="1">
        <f>0.85*$G$5*C55*$G$8/1000</f>
        <v>2515.5030281818185</v>
      </c>
      <c r="E55" s="59">
        <f t="shared" si="2"/>
        <v>1.7763785749744193E-3</v>
      </c>
      <c r="F55" s="91" t="str">
        <f>IF(E55&lt;$G$6/$G$7,"Belum","Sudah")</f>
        <v>Belum</v>
      </c>
      <c r="G55" s="1">
        <f>IF(F55="Sudah",$G$6,E55*$G$7)</f>
        <v>355.27571499488386</v>
      </c>
      <c r="H55" s="91" t="str">
        <f t="shared" si="5"/>
        <v>Tekan</v>
      </c>
      <c r="I55" s="3">
        <f t="shared" si="6"/>
        <v>501.43414636316027</v>
      </c>
      <c r="J55" s="59">
        <f t="shared" si="7"/>
        <v>1.7941888619854719E-3</v>
      </c>
      <c r="K55" s="91" t="str">
        <f>IF(J55&lt;$G$6/$G$7,"Belum","Sudah")</f>
        <v>Belum</v>
      </c>
      <c r="L55" s="1">
        <f>IF(K55="Sudah",$G$6,J55*$G$7)</f>
        <v>358.8377723970944</v>
      </c>
      <c r="M55" s="91" t="str">
        <f t="shared" si="10"/>
        <v>Tarik</v>
      </c>
      <c r="N55" s="3">
        <f>$L$14*L55/1000*IF(M55="Tarik",-1,1)</f>
        <v>-545.62390104312715</v>
      </c>
      <c r="O55" s="3">
        <f t="shared" si="12"/>
        <v>2471.3132735018517</v>
      </c>
      <c r="P55" s="60">
        <f t="shared" si="13"/>
        <v>310.62491302799953</v>
      </c>
      <c r="Q55" s="1">
        <f t="shared" si="14"/>
        <v>0.65</v>
      </c>
      <c r="R55" s="3">
        <f t="shared" si="15"/>
        <v>1606.3536277762037</v>
      </c>
      <c r="S55" s="3">
        <f t="shared" si="17"/>
        <v>201.90619346819969</v>
      </c>
    </row>
    <row r="56" spans="1:19" x14ac:dyDescent="0.25">
      <c r="A56" s="80" t="s">
        <v>211</v>
      </c>
      <c r="B56" s="3">
        <f>(600/(600+$G$6))*$L$20</f>
        <v>144.84848484848484</v>
      </c>
      <c r="C56" s="3">
        <f t="shared" si="0"/>
        <v>123.12121212121211</v>
      </c>
      <c r="D56" s="1">
        <f>0.85*$G$5*C56*$G$8/1000</f>
        <v>2436.3225454545454</v>
      </c>
      <c r="E56" s="59">
        <f t="shared" si="2"/>
        <v>1.7366108786610879E-3</v>
      </c>
      <c r="F56" s="91" t="str">
        <f>IF(E56&lt;$G$6/$G$7,"Belum","Sudah")</f>
        <v>Belum</v>
      </c>
      <c r="G56" s="1">
        <f>IF(F56="Sudah",$G$6,E56*$G$7)</f>
        <v>347.3221757322176</v>
      </c>
      <c r="H56" s="91" t="str">
        <f t="shared" si="5"/>
        <v>Tekan</v>
      </c>
      <c r="I56" s="3">
        <f t="shared" si="6"/>
        <v>489.34054459262728</v>
      </c>
      <c r="J56" s="61">
        <f t="shared" si="7"/>
        <v>1.9500000000000001E-3</v>
      </c>
      <c r="K56" s="91" t="str">
        <f>IF(J56&lt;$G$6/$G$7,"Belum","Sudah")</f>
        <v>Sudah</v>
      </c>
      <c r="L56" s="1">
        <f>IF(K56="Sudah",$G$6,J56*$G$7)</f>
        <v>390</v>
      </c>
      <c r="M56" s="91" t="str">
        <f t="shared" si="10"/>
        <v>Tarik</v>
      </c>
      <c r="N56" s="3">
        <f>$L$14*L56/1000*IF(M56="Tarik",-1,1)</f>
        <v>-593.00702929160946</v>
      </c>
      <c r="O56" s="3">
        <f t="shared" si="12"/>
        <v>2332.6560607555634</v>
      </c>
      <c r="P56" s="60">
        <f t="shared" si="13"/>
        <v>311.79582343657864</v>
      </c>
      <c r="Q56" s="1">
        <f t="shared" si="14"/>
        <v>0.65</v>
      </c>
      <c r="R56" s="3">
        <f t="shared" si="15"/>
        <v>1516.2264394911163</v>
      </c>
      <c r="S56" s="3">
        <f t="shared" si="17"/>
        <v>202.66728523377611</v>
      </c>
    </row>
    <row r="57" spans="1:19" x14ac:dyDescent="0.25">
      <c r="A57" s="1">
        <v>-1</v>
      </c>
      <c r="B57" s="3">
        <f>$B$56+(A57/20*($B$56))</f>
        <v>137.60606060606059</v>
      </c>
      <c r="C57" s="3">
        <f t="shared" si="0"/>
        <v>116.9651515151515</v>
      </c>
      <c r="D57" s="1">
        <f t="shared" ref="D57:D72" si="18">0.85*$G$5*C57*$G$8/1000</f>
        <v>2314.5064181818179</v>
      </c>
      <c r="E57" s="59">
        <f t="shared" si="2"/>
        <v>1.6701167143800923E-3</v>
      </c>
      <c r="F57" s="91" t="str">
        <f t="shared" ref="F57:F72" si="19">IF(E57&lt;$G$6/$G$7,"Belum","Sudah")</f>
        <v>Belum</v>
      </c>
      <c r="G57" s="1">
        <f t="shared" ref="G57:G72" si="20">IF(F57="Sudah",$G$6,E57*$G$7)</f>
        <v>334.02334287601849</v>
      </c>
      <c r="H57" s="91" t="str">
        <f t="shared" si="5"/>
        <v>Tekan</v>
      </c>
      <c r="I57" s="3">
        <f t="shared" si="6"/>
        <v>469.11925904108807</v>
      </c>
      <c r="J57" s="61">
        <f t="shared" si="7"/>
        <v>2.2105263157894744E-3</v>
      </c>
      <c r="K57" s="91" t="str">
        <f t="shared" ref="K57:K72" si="21">IF(J57&lt;$G$6/$G$7,"Belum","Sudah")</f>
        <v>Sudah</v>
      </c>
      <c r="L57" s="1">
        <f t="shared" ref="L57:L72" si="22">IF(K57="Sudah",$G$6,J57*$G$7)</f>
        <v>390</v>
      </c>
      <c r="M57" s="91" t="str">
        <f t="shared" si="10"/>
        <v>Tarik</v>
      </c>
      <c r="N57" s="3">
        <f t="shared" ref="N57:N72" si="23">$L$14*L57/1000*IF(M57="Tarik",-1,1)</f>
        <v>-593.00702929160946</v>
      </c>
      <c r="O57" s="3">
        <f t="shared" si="12"/>
        <v>2190.6186479312969</v>
      </c>
      <c r="P57" s="60">
        <f t="shared" si="13"/>
        <v>306.34690544616933</v>
      </c>
      <c r="Q57" s="1">
        <f t="shared" si="14"/>
        <v>0.66754385964912288</v>
      </c>
      <c r="R57" s="3">
        <f t="shared" si="15"/>
        <v>1462.334027259401</v>
      </c>
      <c r="S57" s="3">
        <f t="shared" si="17"/>
        <v>204.49999565310077</v>
      </c>
    </row>
    <row r="58" spans="1:19" x14ac:dyDescent="0.25">
      <c r="A58" s="1">
        <v>-2</v>
      </c>
      <c r="B58" s="3">
        <f t="shared" ref="B58:B72" si="24">$B$56+(A58/20*($B$56))</f>
        <v>130.36363636363637</v>
      </c>
      <c r="C58" s="3">
        <f t="shared" si="0"/>
        <v>110.80909090909091</v>
      </c>
      <c r="D58" s="1">
        <f t="shared" si="18"/>
        <v>2192.6902909090909</v>
      </c>
      <c r="E58" s="59">
        <f t="shared" si="2"/>
        <v>1.596234309623431E-3</v>
      </c>
      <c r="F58" s="91" t="str">
        <f t="shared" si="19"/>
        <v>Belum</v>
      </c>
      <c r="G58" s="1">
        <f t="shared" si="20"/>
        <v>319.24686192468619</v>
      </c>
      <c r="H58" s="91" t="str">
        <f t="shared" si="5"/>
        <v>Tekan</v>
      </c>
      <c r="I58" s="3">
        <f t="shared" si="6"/>
        <v>446.65116398382236</v>
      </c>
      <c r="J58" s="61">
        <f t="shared" si="7"/>
        <v>2.4999999999999996E-3</v>
      </c>
      <c r="K58" s="91" t="str">
        <f t="shared" si="21"/>
        <v>Sudah</v>
      </c>
      <c r="L58" s="1">
        <f t="shared" si="22"/>
        <v>390</v>
      </c>
      <c r="M58" s="91" t="str">
        <f t="shared" si="10"/>
        <v>Tarik</v>
      </c>
      <c r="N58" s="3">
        <f t="shared" si="23"/>
        <v>-593.00702929160946</v>
      </c>
      <c r="O58" s="3">
        <f t="shared" si="12"/>
        <v>2046.3344256013038</v>
      </c>
      <c r="P58" s="60">
        <f t="shared" si="13"/>
        <v>299.94811394746381</v>
      </c>
      <c r="Q58" s="1">
        <f t="shared" si="14"/>
        <v>0.69166666666666665</v>
      </c>
      <c r="R58" s="3">
        <f t="shared" si="15"/>
        <v>1415.3813110409017</v>
      </c>
      <c r="S58" s="3">
        <f t="shared" si="17"/>
        <v>207.4641121469958</v>
      </c>
    </row>
    <row r="59" spans="1:19" x14ac:dyDescent="0.25">
      <c r="A59" s="1">
        <v>-3</v>
      </c>
      <c r="B59" s="3">
        <f t="shared" si="24"/>
        <v>123.12121212121212</v>
      </c>
      <c r="C59" s="3">
        <f t="shared" si="0"/>
        <v>104.65303030303031</v>
      </c>
      <c r="D59" s="1">
        <f t="shared" si="18"/>
        <v>2070.8741636363634</v>
      </c>
      <c r="E59" s="59">
        <f t="shared" si="2"/>
        <v>1.5136598572483388E-3</v>
      </c>
      <c r="F59" s="91" t="str">
        <f t="shared" si="19"/>
        <v>Belum</v>
      </c>
      <c r="G59" s="1">
        <f t="shared" si="20"/>
        <v>302.73197144966775</v>
      </c>
      <c r="H59" s="91" t="str">
        <f t="shared" si="5"/>
        <v>Tekan</v>
      </c>
      <c r="I59" s="3">
        <f t="shared" si="6"/>
        <v>421.53976362570188</v>
      </c>
      <c r="J59" s="61">
        <f t="shared" si="7"/>
        <v>2.8235294117647061E-3</v>
      </c>
      <c r="K59" s="91" t="str">
        <f t="shared" si="21"/>
        <v>Sudah</v>
      </c>
      <c r="L59" s="1">
        <f t="shared" si="22"/>
        <v>390</v>
      </c>
      <c r="M59" s="91" t="str">
        <f t="shared" si="10"/>
        <v>Tarik</v>
      </c>
      <c r="N59" s="3">
        <f t="shared" si="23"/>
        <v>-593.00702929160946</v>
      </c>
      <c r="O59" s="3">
        <f t="shared" si="12"/>
        <v>1899.4068979704557</v>
      </c>
      <c r="P59" s="60">
        <f t="shared" si="13"/>
        <v>292.56416081469575</v>
      </c>
      <c r="Q59" s="1">
        <f t="shared" si="14"/>
        <v>0.71862745098039216</v>
      </c>
      <c r="R59" s="3">
        <f t="shared" si="15"/>
        <v>1364.9659374630824</v>
      </c>
      <c r="S59" s="3">
        <f t="shared" si="17"/>
        <v>210.24463713448233</v>
      </c>
    </row>
    <row r="60" spans="1:19" x14ac:dyDescent="0.25">
      <c r="A60" s="1">
        <v>-4</v>
      </c>
      <c r="B60" s="3">
        <f t="shared" si="24"/>
        <v>115.87878787878788</v>
      </c>
      <c r="C60" s="3">
        <f t="shared" si="0"/>
        <v>98.496969696969686</v>
      </c>
      <c r="D60" s="1">
        <f t="shared" si="18"/>
        <v>1949.0580363636361</v>
      </c>
      <c r="E60" s="59">
        <f t="shared" si="2"/>
        <v>1.4207635983263598E-3</v>
      </c>
      <c r="F60" s="91" t="str">
        <f t="shared" si="19"/>
        <v>Belum</v>
      </c>
      <c r="G60" s="1">
        <f t="shared" si="20"/>
        <v>284.15271966527195</v>
      </c>
      <c r="H60" s="91" t="str">
        <f t="shared" si="5"/>
        <v>Tekan</v>
      </c>
      <c r="I60" s="3">
        <f t="shared" si="6"/>
        <v>393.28943822281627</v>
      </c>
      <c r="J60" s="61">
        <f t="shared" si="7"/>
        <v>3.1875000000000002E-3</v>
      </c>
      <c r="K60" s="91" t="str">
        <f t="shared" si="21"/>
        <v>Sudah</v>
      </c>
      <c r="L60" s="1">
        <f t="shared" si="22"/>
        <v>390</v>
      </c>
      <c r="M60" s="91" t="str">
        <f t="shared" si="10"/>
        <v>Tarik</v>
      </c>
      <c r="N60" s="3">
        <f t="shared" si="23"/>
        <v>-593.00702929160946</v>
      </c>
      <c r="O60" s="3">
        <f t="shared" si="12"/>
        <v>1749.340445294843</v>
      </c>
      <c r="P60" s="60">
        <f t="shared" si="13"/>
        <v>284.15093589065714</v>
      </c>
      <c r="Q60" s="1">
        <f t="shared" si="14"/>
        <v>0.74895833333333339</v>
      </c>
      <c r="R60" s="3">
        <f t="shared" si="15"/>
        <v>1310.1831043406169</v>
      </c>
      <c r="S60" s="3">
        <f t="shared" si="17"/>
        <v>212.81721135977344</v>
      </c>
    </row>
    <row r="61" spans="1:19" x14ac:dyDescent="0.25">
      <c r="A61" s="1">
        <v>-5</v>
      </c>
      <c r="B61" s="3">
        <f t="shared" si="24"/>
        <v>108.63636363636363</v>
      </c>
      <c r="C61" s="3">
        <f t="shared" si="0"/>
        <v>92.340909090909079</v>
      </c>
      <c r="D61" s="1">
        <f t="shared" si="18"/>
        <v>1827.2419090909088</v>
      </c>
      <c r="E61" s="59">
        <f t="shared" si="2"/>
        <v>1.3154811715481171E-3</v>
      </c>
      <c r="F61" s="91" t="str">
        <f t="shared" si="19"/>
        <v>Belum</v>
      </c>
      <c r="G61" s="1">
        <f t="shared" si="20"/>
        <v>263.09623430962341</v>
      </c>
      <c r="H61" s="91" t="str">
        <f t="shared" si="5"/>
        <v>Tekan</v>
      </c>
      <c r="I61" s="3">
        <f t="shared" si="6"/>
        <v>361.27240276621262</v>
      </c>
      <c r="J61" s="61">
        <f t="shared" si="7"/>
        <v>3.6000000000000008E-3</v>
      </c>
      <c r="K61" s="91" t="str">
        <f t="shared" si="21"/>
        <v>Sudah</v>
      </c>
      <c r="L61" s="1">
        <f t="shared" si="22"/>
        <v>390</v>
      </c>
      <c r="M61" s="91" t="str">
        <f t="shared" si="10"/>
        <v>Tarik</v>
      </c>
      <c r="N61" s="3">
        <f t="shared" si="23"/>
        <v>-593.00702929160946</v>
      </c>
      <c r="O61" s="3">
        <f t="shared" si="12"/>
        <v>1595.507282565512</v>
      </c>
      <c r="P61" s="60">
        <f t="shared" si="13"/>
        <v>274.6525663095511</v>
      </c>
      <c r="Q61" s="1">
        <f t="shared" si="14"/>
        <v>0.78333333333333344</v>
      </c>
      <c r="R61" s="3">
        <f t="shared" si="15"/>
        <v>1249.8140380096513</v>
      </c>
      <c r="S61" s="3">
        <f t="shared" si="17"/>
        <v>215.14451027581507</v>
      </c>
    </row>
    <row r="62" spans="1:19" x14ac:dyDescent="0.25">
      <c r="A62" s="1">
        <v>-6</v>
      </c>
      <c r="B62" s="3">
        <f t="shared" si="24"/>
        <v>101.39393939393939</v>
      </c>
      <c r="C62" s="3">
        <f t="shared" si="0"/>
        <v>86.184848484848473</v>
      </c>
      <c r="D62" s="1">
        <f t="shared" si="18"/>
        <v>1705.4257818181816</v>
      </c>
      <c r="E62" s="59">
        <f t="shared" si="2"/>
        <v>1.1951583980872684E-3</v>
      </c>
      <c r="F62" s="91" t="str">
        <f t="shared" si="19"/>
        <v>Belum</v>
      </c>
      <c r="G62" s="1">
        <f t="shared" si="20"/>
        <v>239.03167961745368</v>
      </c>
      <c r="H62" s="91" t="str">
        <f t="shared" si="5"/>
        <v>Tekan</v>
      </c>
      <c r="I62" s="3">
        <f t="shared" si="6"/>
        <v>324.68150510152282</v>
      </c>
      <c r="J62" s="61">
        <f t="shared" si="7"/>
        <v>4.0714285714285722E-3</v>
      </c>
      <c r="K62" s="91" t="str">
        <f t="shared" si="21"/>
        <v>Sudah</v>
      </c>
      <c r="L62" s="1">
        <f t="shared" si="22"/>
        <v>390</v>
      </c>
      <c r="M62" s="91" t="str">
        <f t="shared" si="10"/>
        <v>Tarik</v>
      </c>
      <c r="N62" s="3">
        <f t="shared" si="23"/>
        <v>-593.00702929160946</v>
      </c>
      <c r="O62" s="3">
        <f t="shared" si="12"/>
        <v>1437.1002576280948</v>
      </c>
      <c r="P62" s="60">
        <f t="shared" si="13"/>
        <v>263.99721552963888</v>
      </c>
      <c r="Q62" s="1">
        <f t="shared" si="14"/>
        <v>0.82261904761904769</v>
      </c>
      <c r="R62" s="3">
        <f t="shared" si="15"/>
        <v>1182.1860452631115</v>
      </c>
      <c r="S62" s="3">
        <f t="shared" si="17"/>
        <v>217.169138013072</v>
      </c>
    </row>
    <row r="63" spans="1:19" x14ac:dyDescent="0.25">
      <c r="A63" s="1">
        <v>-7</v>
      </c>
      <c r="B63" s="3">
        <f t="shared" si="24"/>
        <v>94.151515151515156</v>
      </c>
      <c r="C63" s="3">
        <f t="shared" si="0"/>
        <v>80.028787878787881</v>
      </c>
      <c r="D63" s="1">
        <f t="shared" si="18"/>
        <v>1583.6096545454545</v>
      </c>
      <c r="E63" s="59">
        <f t="shared" si="2"/>
        <v>1.0563244287093662E-3</v>
      </c>
      <c r="F63" s="91" t="str">
        <f t="shared" si="19"/>
        <v>Belum</v>
      </c>
      <c r="G63" s="1">
        <f t="shared" si="20"/>
        <v>211.26488574187323</v>
      </c>
      <c r="H63" s="91" t="str">
        <f t="shared" si="5"/>
        <v>Tekan</v>
      </c>
      <c r="I63" s="3">
        <f t="shared" si="6"/>
        <v>282.46123856534228</v>
      </c>
      <c r="J63" s="61">
        <f t="shared" si="7"/>
        <v>4.6153846153846149E-3</v>
      </c>
      <c r="K63" s="91" t="str">
        <f t="shared" si="21"/>
        <v>Sudah</v>
      </c>
      <c r="L63" s="1">
        <f t="shared" si="22"/>
        <v>390</v>
      </c>
      <c r="M63" s="91" t="str">
        <f t="shared" si="10"/>
        <v>Tarik</v>
      </c>
      <c r="N63" s="3">
        <f t="shared" si="23"/>
        <v>-593.00702929160946</v>
      </c>
      <c r="O63" s="3">
        <f t="shared" si="12"/>
        <v>1273.0638638191872</v>
      </c>
      <c r="P63" s="60">
        <f t="shared" si="13"/>
        <v>252.0909434578775</v>
      </c>
      <c r="Q63" s="1">
        <f t="shared" si="14"/>
        <v>0.86794871794871797</v>
      </c>
      <c r="R63" s="3">
        <f t="shared" si="15"/>
        <v>1104.9541484687047</v>
      </c>
      <c r="S63" s="3">
        <f t="shared" si="17"/>
        <v>218.80201118074754</v>
      </c>
    </row>
    <row r="64" spans="1:19" x14ac:dyDescent="0.25">
      <c r="A64" s="1">
        <v>-8</v>
      </c>
      <c r="B64" s="3">
        <f t="shared" si="24"/>
        <v>86.909090909090907</v>
      </c>
      <c r="C64" s="3">
        <f t="shared" si="0"/>
        <v>73.872727272727275</v>
      </c>
      <c r="D64" s="1">
        <f t="shared" si="18"/>
        <v>1461.7935272727273</v>
      </c>
      <c r="E64" s="59">
        <f t="shared" si="2"/>
        <v>8.9435146443514642E-4</v>
      </c>
      <c r="F64" s="91" t="str">
        <f t="shared" si="19"/>
        <v>Belum</v>
      </c>
      <c r="G64" s="1">
        <f t="shared" si="20"/>
        <v>178.87029288702928</v>
      </c>
      <c r="H64" s="91" t="str">
        <f t="shared" si="5"/>
        <v>Tekan</v>
      </c>
      <c r="I64" s="3">
        <f t="shared" si="6"/>
        <v>233.20426093979813</v>
      </c>
      <c r="J64" s="61">
        <f t="shared" si="7"/>
        <v>5.2500000000000003E-3</v>
      </c>
      <c r="K64" s="91" t="str">
        <f t="shared" si="21"/>
        <v>Sudah</v>
      </c>
      <c r="L64" s="1">
        <f t="shared" si="22"/>
        <v>390</v>
      </c>
      <c r="M64" s="91" t="str">
        <f t="shared" si="10"/>
        <v>Tarik</v>
      </c>
      <c r="N64" s="3">
        <f t="shared" si="23"/>
        <v>-593.00702929160946</v>
      </c>
      <c r="O64" s="3">
        <f t="shared" si="12"/>
        <v>1101.9907589209161</v>
      </c>
      <c r="P64" s="60">
        <f t="shared" si="13"/>
        <v>238.80849663687624</v>
      </c>
      <c r="Q64" s="1">
        <f t="shared" si="14"/>
        <v>0.9</v>
      </c>
      <c r="R64" s="3">
        <f t="shared" si="15"/>
        <v>991.79168302882442</v>
      </c>
      <c r="S64" s="3">
        <f t="shared" si="17"/>
        <v>214.92764697318862</v>
      </c>
    </row>
    <row r="65" spans="1:19" x14ac:dyDescent="0.25">
      <c r="A65" s="1">
        <v>-9</v>
      </c>
      <c r="B65" s="3">
        <f t="shared" si="24"/>
        <v>79.666666666666657</v>
      </c>
      <c r="C65" s="3">
        <f t="shared" si="0"/>
        <v>67.716666666666654</v>
      </c>
      <c r="D65" s="1">
        <f t="shared" si="18"/>
        <v>1339.9773999999998</v>
      </c>
      <c r="E65" s="59">
        <f t="shared" si="2"/>
        <v>7.0292887029288682E-4</v>
      </c>
      <c r="F65" s="91" t="str">
        <f t="shared" si="19"/>
        <v>Belum</v>
      </c>
      <c r="G65" s="1">
        <f t="shared" si="20"/>
        <v>140.58577405857736</v>
      </c>
      <c r="H65" s="91" t="str">
        <f t="shared" si="5"/>
        <v>Tekan</v>
      </c>
      <c r="I65" s="3">
        <f t="shared" si="6"/>
        <v>174.99146920051876</v>
      </c>
      <c r="J65" s="61">
        <f t="shared" si="7"/>
        <v>6.0000000000000019E-3</v>
      </c>
      <c r="K65" s="91" t="str">
        <f t="shared" si="21"/>
        <v>Sudah</v>
      </c>
      <c r="L65" s="1">
        <f t="shared" si="22"/>
        <v>390</v>
      </c>
      <c r="M65" s="91" t="str">
        <f t="shared" si="10"/>
        <v>Tarik</v>
      </c>
      <c r="N65" s="3">
        <f t="shared" si="23"/>
        <v>-593.00702929160946</v>
      </c>
      <c r="O65" s="3">
        <f t="shared" si="12"/>
        <v>921.96183990890916</v>
      </c>
      <c r="P65" s="60">
        <f t="shared" si="13"/>
        <v>223.97907489746606</v>
      </c>
      <c r="Q65" s="1">
        <f t="shared" si="14"/>
        <v>0.9</v>
      </c>
      <c r="R65" s="3">
        <f t="shared" si="15"/>
        <v>829.7656559180183</v>
      </c>
      <c r="S65" s="3">
        <f t="shared" si="17"/>
        <v>201.58116740771945</v>
      </c>
    </row>
    <row r="66" spans="1:19" x14ac:dyDescent="0.25">
      <c r="A66" s="1">
        <v>-10</v>
      </c>
      <c r="B66" s="3">
        <f t="shared" si="24"/>
        <v>72.424242424242422</v>
      </c>
      <c r="C66" s="3">
        <f t="shared" si="0"/>
        <v>61.560606060606055</v>
      </c>
      <c r="D66" s="1">
        <f t="shared" si="18"/>
        <v>1218.1612727272727</v>
      </c>
      <c r="E66" s="59">
        <f t="shared" si="2"/>
        <v>4.7322175732217569E-4</v>
      </c>
      <c r="F66" s="91" t="str">
        <f t="shared" si="19"/>
        <v>Belum</v>
      </c>
      <c r="G66" s="1">
        <f t="shared" si="20"/>
        <v>94.644351464435132</v>
      </c>
      <c r="H66" s="91" t="str">
        <f t="shared" si="5"/>
        <v>Tekan</v>
      </c>
      <c r="I66" s="3">
        <f t="shared" si="6"/>
        <v>105.13611911338364</v>
      </c>
      <c r="J66" s="61">
        <f t="shared" si="7"/>
        <v>6.8999999999999999E-3</v>
      </c>
      <c r="K66" s="91" t="str">
        <f t="shared" si="21"/>
        <v>Sudah</v>
      </c>
      <c r="L66" s="1">
        <f t="shared" si="22"/>
        <v>390</v>
      </c>
      <c r="M66" s="91" t="str">
        <f t="shared" si="10"/>
        <v>Tarik</v>
      </c>
      <c r="N66" s="3">
        <f t="shared" si="23"/>
        <v>-593.00702929160946</v>
      </c>
      <c r="O66" s="3">
        <f t="shared" si="12"/>
        <v>730.29036254904702</v>
      </c>
      <c r="P66" s="60">
        <f t="shared" si="13"/>
        <v>207.36355800281024</v>
      </c>
      <c r="Q66" s="1">
        <f t="shared" si="14"/>
        <v>0.9</v>
      </c>
      <c r="R66" s="3">
        <f t="shared" si="15"/>
        <v>657.26132629414235</v>
      </c>
      <c r="S66" s="3">
        <f t="shared" si="17"/>
        <v>186.62720220252922</v>
      </c>
    </row>
    <row r="67" spans="1:19" x14ac:dyDescent="0.25">
      <c r="A67" s="1">
        <v>-11</v>
      </c>
      <c r="B67" s="3">
        <f t="shared" si="24"/>
        <v>65.181818181818173</v>
      </c>
      <c r="C67" s="3">
        <f t="shared" si="0"/>
        <v>55.404545454545442</v>
      </c>
      <c r="D67" s="1">
        <f t="shared" si="18"/>
        <v>1096.345145454545</v>
      </c>
      <c r="E67" s="59">
        <f t="shared" si="2"/>
        <v>1.9246861924686155E-4</v>
      </c>
      <c r="F67" s="91" t="str">
        <f t="shared" si="19"/>
        <v>Belum</v>
      </c>
      <c r="G67" s="1">
        <f t="shared" si="20"/>
        <v>38.493723849372309</v>
      </c>
      <c r="H67" s="91" t="str">
        <f t="shared" si="5"/>
        <v>Tekan</v>
      </c>
      <c r="I67" s="3">
        <f t="shared" si="6"/>
        <v>19.757357895773868</v>
      </c>
      <c r="J67" s="61">
        <f t="shared" si="7"/>
        <v>8.0000000000000019E-3</v>
      </c>
      <c r="K67" s="91" t="str">
        <f t="shared" si="21"/>
        <v>Sudah</v>
      </c>
      <c r="L67" s="1">
        <f t="shared" si="22"/>
        <v>390</v>
      </c>
      <c r="M67" s="91" t="str">
        <f t="shared" si="10"/>
        <v>Tarik</v>
      </c>
      <c r="N67" s="3">
        <f t="shared" si="23"/>
        <v>-593.00702929160946</v>
      </c>
      <c r="O67" s="3">
        <f t="shared" si="12"/>
        <v>523.09547405870933</v>
      </c>
      <c r="P67" s="60">
        <f t="shared" si="13"/>
        <v>188.6165500552556</v>
      </c>
      <c r="Q67" s="1">
        <f t="shared" si="14"/>
        <v>0.9</v>
      </c>
      <c r="R67" s="3">
        <f t="shared" si="15"/>
        <v>470.78592665283838</v>
      </c>
      <c r="S67" s="3">
        <f t="shared" si="17"/>
        <v>169.75489504973004</v>
      </c>
    </row>
    <row r="68" spans="1:19" x14ac:dyDescent="0.25">
      <c r="A68" s="1">
        <v>-12</v>
      </c>
      <c r="B68" s="3">
        <f t="shared" si="24"/>
        <v>57.939393939393938</v>
      </c>
      <c r="C68" s="3">
        <f t="shared" si="0"/>
        <v>49.248484848484843</v>
      </c>
      <c r="D68" s="1">
        <f t="shared" si="18"/>
        <v>974.52901818181806</v>
      </c>
      <c r="E68" s="59">
        <f t="shared" si="2"/>
        <v>1.5847280334728043E-4</v>
      </c>
      <c r="F68" s="91" t="str">
        <f t="shared" si="19"/>
        <v>Belum</v>
      </c>
      <c r="G68" s="1">
        <f t="shared" si="20"/>
        <v>31.694560669456088</v>
      </c>
      <c r="H68" s="91" t="str">
        <f t="shared" si="5"/>
        <v>Tarik</v>
      </c>
      <c r="I68" s="3">
        <f t="shared" si="6"/>
        <v>-9.4190205650276866</v>
      </c>
      <c r="J68" s="61">
        <f t="shared" si="7"/>
        <v>9.3749999999999997E-3</v>
      </c>
      <c r="K68" s="91" t="str">
        <f t="shared" si="21"/>
        <v>Sudah</v>
      </c>
      <c r="L68" s="1">
        <f t="shared" si="22"/>
        <v>390</v>
      </c>
      <c r="M68" s="91" t="str">
        <f t="shared" si="10"/>
        <v>Tarik</v>
      </c>
      <c r="N68" s="3">
        <f t="shared" si="23"/>
        <v>-593.00702929160946</v>
      </c>
      <c r="O68" s="3">
        <f t="shared" si="12"/>
        <v>372.10296832518088</v>
      </c>
      <c r="P68" s="60">
        <f t="shared" si="13"/>
        <v>174.12164671077045</v>
      </c>
      <c r="Q68" s="1">
        <f t="shared" si="14"/>
        <v>0.9</v>
      </c>
      <c r="R68" s="3">
        <f t="shared" si="15"/>
        <v>334.89267149266283</v>
      </c>
      <c r="S68" s="3">
        <f t="shared" si="17"/>
        <v>156.7094820396934</v>
      </c>
    </row>
    <row r="69" spans="1:19" x14ac:dyDescent="0.25">
      <c r="A69" s="1">
        <v>-13</v>
      </c>
      <c r="B69" s="3">
        <f t="shared" si="24"/>
        <v>50.696969696969688</v>
      </c>
      <c r="C69" s="3">
        <f t="shared" si="0"/>
        <v>43.092424242424237</v>
      </c>
      <c r="D69" s="1">
        <f t="shared" si="18"/>
        <v>852.71289090909079</v>
      </c>
      <c r="E69" s="59">
        <f t="shared" si="2"/>
        <v>6.0968320382546386E-4</v>
      </c>
      <c r="F69" s="91" t="str">
        <f t="shared" si="19"/>
        <v>Belum</v>
      </c>
      <c r="G69" s="1">
        <f t="shared" si="20"/>
        <v>121.93664076509278</v>
      </c>
      <c r="H69" s="91" t="str">
        <f t="shared" si="5"/>
        <v>Tarik</v>
      </c>
      <c r="I69" s="3">
        <f t="shared" si="6"/>
        <v>-146.63488680761483</v>
      </c>
      <c r="J69" s="61">
        <f t="shared" si="7"/>
        <v>1.1142857142857145E-2</v>
      </c>
      <c r="K69" s="91" t="str">
        <f t="shared" si="21"/>
        <v>Sudah</v>
      </c>
      <c r="L69" s="1">
        <f t="shared" si="22"/>
        <v>390</v>
      </c>
      <c r="M69" s="91" t="str">
        <f t="shared" si="10"/>
        <v>Tarik</v>
      </c>
      <c r="N69" s="3">
        <f t="shared" si="23"/>
        <v>-593.00702929160946</v>
      </c>
      <c r="O69" s="3">
        <f t="shared" si="12"/>
        <v>113.07097480986647</v>
      </c>
      <c r="P69" s="60">
        <f t="shared" si="13"/>
        <v>149.26132149141986</v>
      </c>
      <c r="Q69" s="1">
        <f t="shared" si="14"/>
        <v>0.9</v>
      </c>
      <c r="R69" s="3">
        <f t="shared" si="15"/>
        <v>101.76387732887983</v>
      </c>
      <c r="S69" s="3">
        <f t="shared" si="17"/>
        <v>134.33518934227789</v>
      </c>
    </row>
    <row r="70" spans="1:19" x14ac:dyDescent="0.25">
      <c r="A70" s="1" t="s">
        <v>215</v>
      </c>
      <c r="B70" s="62">
        <v>47.853084181503711</v>
      </c>
      <c r="C70" s="3">
        <f t="shared" si="0"/>
        <v>40.675121554278157</v>
      </c>
      <c r="D70" s="1">
        <f>0.85*$G$5*C70*$G$8/1000</f>
        <v>804.87930531605616</v>
      </c>
      <c r="E70" s="59">
        <f t="shared" si="2"/>
        <v>8.2420492075061696E-4</v>
      </c>
      <c r="F70" s="91" t="str">
        <f>IF(E70&lt;$G$6/$G$7,"Belum","Sudah")</f>
        <v>Belum</v>
      </c>
      <c r="G70" s="1">
        <f>IF(F70="Sudah",$G$6,E70*$G$7)</f>
        <v>164.8409841501234</v>
      </c>
      <c r="H70" s="91" t="str">
        <f>IF(B70&gt;$L$19,"Tekan","Tarik")</f>
        <v>Tarik</v>
      </c>
      <c r="I70" s="3">
        <f t="shared" si="6"/>
        <v>-211.87226428059978</v>
      </c>
      <c r="J70" s="61">
        <f t="shared" si="7"/>
        <v>1.1983360263268811E-2</v>
      </c>
      <c r="K70" s="91" t="str">
        <f>IF(J70&lt;$G$6/$G$7,"Belum","Sudah")</f>
        <v>Sudah</v>
      </c>
      <c r="L70" s="1">
        <f>IF(K70="Sudah",$G$6,J70*$G$7)</f>
        <v>390</v>
      </c>
      <c r="M70" s="91" t="str">
        <f>IF(B70&gt;$L$20,"Tekan","Tarik")</f>
        <v>Tarik</v>
      </c>
      <c r="N70" s="3">
        <f>$L$14*L70/1000*IF(M70="Tarik",-1,1)</f>
        <v>-593.00702929160946</v>
      </c>
      <c r="O70" s="3">
        <f t="shared" si="12"/>
        <v>1.1743846926037804E-5</v>
      </c>
      <c r="P70" s="60">
        <f t="shared" si="13"/>
        <v>138.28360809326148</v>
      </c>
      <c r="Q70" s="1">
        <f t="shared" si="14"/>
        <v>0.9</v>
      </c>
      <c r="R70" s="3">
        <f>O70*Q70</f>
        <v>1.0569462233434024E-5</v>
      </c>
      <c r="S70" s="3">
        <f>P70*Q70</f>
        <v>124.45524728393534</v>
      </c>
    </row>
    <row r="71" spans="1:19" x14ac:dyDescent="0.25">
      <c r="A71" s="1">
        <v>-14</v>
      </c>
      <c r="B71" s="3">
        <f t="shared" si="24"/>
        <v>43.454545454545453</v>
      </c>
      <c r="C71" s="3">
        <f t="shared" si="0"/>
        <v>36.936363636363637</v>
      </c>
      <c r="D71" s="1">
        <f t="shared" si="18"/>
        <v>730.89676363636363</v>
      </c>
      <c r="E71" s="59">
        <f t="shared" si="2"/>
        <v>1.2112970711297072E-3</v>
      </c>
      <c r="F71" s="91" t="str">
        <f t="shared" si="19"/>
        <v>Belum</v>
      </c>
      <c r="G71" s="1">
        <f t="shared" si="20"/>
        <v>242.25941422594144</v>
      </c>
      <c r="H71" s="91" t="str">
        <f t="shared" si="5"/>
        <v>Tarik</v>
      </c>
      <c r="I71" s="3">
        <f t="shared" si="6"/>
        <v>-329.589375131064</v>
      </c>
      <c r="J71" s="61">
        <f t="shared" si="7"/>
        <v>1.3500000000000003E-2</v>
      </c>
      <c r="K71" s="91" t="str">
        <f t="shared" si="21"/>
        <v>Sudah</v>
      </c>
      <c r="L71" s="1">
        <f t="shared" si="22"/>
        <v>390</v>
      </c>
      <c r="M71" s="91" t="str">
        <f t="shared" si="10"/>
        <v>Tarik</v>
      </c>
      <c r="N71" s="3">
        <f t="shared" si="23"/>
        <v>-593.00702929160946</v>
      </c>
      <c r="O71" s="3">
        <f t="shared" si="12"/>
        <v>-191.69964078630983</v>
      </c>
      <c r="P71" s="60">
        <f t="shared" si="13"/>
        <v>119.58035144458606</v>
      </c>
      <c r="Q71" s="1">
        <f t="shared" si="14"/>
        <v>0.9</v>
      </c>
      <c r="R71" s="3">
        <f t="shared" si="15"/>
        <v>-172.52967670767885</v>
      </c>
      <c r="S71" s="3">
        <f t="shared" si="17"/>
        <v>107.62231630012745</v>
      </c>
    </row>
    <row r="72" spans="1:19" x14ac:dyDescent="0.25">
      <c r="A72" s="1">
        <v>-15</v>
      </c>
      <c r="B72" s="3">
        <f t="shared" si="24"/>
        <v>36.212121212121218</v>
      </c>
      <c r="C72" s="3">
        <f t="shared" si="0"/>
        <v>30.780303030303035</v>
      </c>
      <c r="D72" s="1">
        <f t="shared" si="18"/>
        <v>609.08063636363647</v>
      </c>
      <c r="E72" s="59">
        <f t="shared" si="2"/>
        <v>2.0535564853556478E-3</v>
      </c>
      <c r="F72" s="91" t="str">
        <f t="shared" si="19"/>
        <v>Sudah</v>
      </c>
      <c r="G72" s="1">
        <f t="shared" si="20"/>
        <v>390</v>
      </c>
      <c r="H72" s="91" t="str">
        <f t="shared" si="5"/>
        <v>Tarik</v>
      </c>
      <c r="I72" s="3">
        <f t="shared" si="6"/>
        <v>-554.23349276100419</v>
      </c>
      <c r="J72" s="61">
        <f t="shared" si="7"/>
        <v>1.6799999999999995E-2</v>
      </c>
      <c r="K72" s="91" t="str">
        <f t="shared" si="21"/>
        <v>Sudah</v>
      </c>
      <c r="L72" s="1">
        <f t="shared" si="22"/>
        <v>390</v>
      </c>
      <c r="M72" s="91" t="str">
        <f t="shared" si="10"/>
        <v>Tarik</v>
      </c>
      <c r="N72" s="3">
        <f t="shared" si="23"/>
        <v>-593.00702929160946</v>
      </c>
      <c r="O72" s="3">
        <f t="shared" si="12"/>
        <v>-538.15988568897717</v>
      </c>
      <c r="P72" s="60">
        <f t="shared" si="13"/>
        <v>85.439096927188061</v>
      </c>
      <c r="Q72" s="1">
        <f t="shared" si="14"/>
        <v>0.9</v>
      </c>
      <c r="R72" s="3">
        <f t="shared" si="15"/>
        <v>-484.34389712007948</v>
      </c>
      <c r="S72" s="3">
        <f t="shared" si="17"/>
        <v>76.895187234469262</v>
      </c>
    </row>
    <row r="73" spans="1:19" x14ac:dyDescent="0.25">
      <c r="A73" s="1">
        <v>-16</v>
      </c>
      <c r="B73" s="3">
        <f t="shared" ref="B73:B76" si="25">$B$56+(A73/20*($B$56))</f>
        <v>28.969696969696969</v>
      </c>
      <c r="C73" s="3">
        <f t="shared" ref="C73:C76" si="26">$G$15*B73</f>
        <v>24.624242424242421</v>
      </c>
      <c r="D73" s="1">
        <f t="shared" ref="D73:D76" si="27">0.85*$G$5*C73*$G$8/1000</f>
        <v>487.26450909090903</v>
      </c>
      <c r="E73" s="59">
        <f t="shared" ref="E73:E76" si="28">ABS(B73-$L$19)/B73*$G$16</f>
        <v>3.3169456066945609E-3</v>
      </c>
      <c r="F73" s="91" t="str">
        <f t="shared" ref="F73:F76" si="29">IF(E73&lt;$G$6/$G$7,"Belum","Sudah")</f>
        <v>Sudah</v>
      </c>
      <c r="G73" s="1">
        <f t="shared" ref="G73:G76" si="30">IF(F73="Sudah",$G$6,E73*$G$7)</f>
        <v>390</v>
      </c>
      <c r="H73" s="91" t="str">
        <f t="shared" ref="H73:H76" si="31">IF(B73&gt;$L$19,"Tekan","Tarik")</f>
        <v>Tarik</v>
      </c>
      <c r="I73" s="3">
        <f t="shared" ref="I73:I76" si="32">$L$13*(G73-$G$15*$G$5)/1000*IF(H73="Tarik",-1,1)</f>
        <v>-554.23349276100419</v>
      </c>
      <c r="J73" s="61">
        <f t="shared" ref="J73:J76" si="33">ABS(B73-$L$20)/B73*$G$16</f>
        <v>2.1750000000000002E-2</v>
      </c>
      <c r="K73" s="91" t="str">
        <f t="shared" ref="K73:K76" si="34">IF(J73&lt;$G$6/$G$7,"Belum","Sudah")</f>
        <v>Sudah</v>
      </c>
      <c r="L73" s="1">
        <f t="shared" ref="L73:L76" si="35">IF(K73="Sudah",$G$6,J73*$G$7)</f>
        <v>390</v>
      </c>
      <c r="M73" s="91" t="str">
        <f t="shared" ref="M73:M76" si="36">IF(B73&gt;$L$20,"Tekan","Tarik")</f>
        <v>Tarik</v>
      </c>
      <c r="N73" s="3">
        <f t="shared" ref="N73:N76" si="37">$L$14*L73/1000*IF(M73="Tarik",-1,1)</f>
        <v>-593.00702929160946</v>
      </c>
      <c r="O73" s="3">
        <f t="shared" ref="O73:O76" si="38">(D73+I73+N73)</f>
        <v>-659.97601296170455</v>
      </c>
      <c r="P73" s="60">
        <f t="shared" ref="P73:P76" si="39">(D73*($G$9/2-C73/2)+I73*($G$9/2-$L$19)-N73*ABS($G$9/2-$L$20))/1000</f>
        <v>70.541261416568204</v>
      </c>
      <c r="Q73" s="1">
        <f t="shared" ref="Q73:Q76" si="40">IF(J73&lt;0.002,$G$24,IF(J73&gt;0.005,0.9,0.65+(J73-0.002)*(250/3)))</f>
        <v>0.9</v>
      </c>
      <c r="R73" s="3">
        <f t="shared" ref="R73:R76" si="41">O73*Q73</f>
        <v>-593.97841166553417</v>
      </c>
      <c r="S73" s="3">
        <f t="shared" ref="S73:S76" si="42">P73*Q73</f>
        <v>63.487135274911388</v>
      </c>
    </row>
    <row r="74" spans="1:19" x14ac:dyDescent="0.25">
      <c r="A74" s="1">
        <v>-17</v>
      </c>
      <c r="B74" s="3">
        <f t="shared" si="25"/>
        <v>21.727272727272734</v>
      </c>
      <c r="C74" s="3">
        <f t="shared" si="26"/>
        <v>18.468181818181822</v>
      </c>
      <c r="D74" s="1">
        <f t="shared" si="27"/>
        <v>365.44838181818187</v>
      </c>
      <c r="E74" s="59">
        <f t="shared" si="28"/>
        <v>5.4225941422594119E-3</v>
      </c>
      <c r="F74" s="91" t="str">
        <f t="shared" si="29"/>
        <v>Sudah</v>
      </c>
      <c r="G74" s="1">
        <f t="shared" si="30"/>
        <v>390</v>
      </c>
      <c r="H74" s="91" t="str">
        <f t="shared" si="31"/>
        <v>Tarik</v>
      </c>
      <c r="I74" s="3">
        <f t="shared" si="32"/>
        <v>-554.23349276100419</v>
      </c>
      <c r="J74" s="61">
        <f t="shared" si="33"/>
        <v>2.9999999999999988E-2</v>
      </c>
      <c r="K74" s="91" t="str">
        <f t="shared" si="34"/>
        <v>Sudah</v>
      </c>
      <c r="L74" s="1">
        <f t="shared" si="35"/>
        <v>390</v>
      </c>
      <c r="M74" s="91" t="str">
        <f t="shared" si="36"/>
        <v>Tarik</v>
      </c>
      <c r="N74" s="3">
        <f t="shared" si="37"/>
        <v>-593.00702929160946</v>
      </c>
      <c r="O74" s="3">
        <f t="shared" si="38"/>
        <v>-781.79214023443183</v>
      </c>
      <c r="P74" s="60">
        <f t="shared" si="39"/>
        <v>54.893518443661883</v>
      </c>
      <c r="Q74" s="1">
        <f t="shared" si="40"/>
        <v>0.9</v>
      </c>
      <c r="R74" s="3">
        <f t="shared" si="41"/>
        <v>-703.61292621098869</v>
      </c>
      <c r="S74" s="3">
        <f t="shared" si="42"/>
        <v>49.404166599295692</v>
      </c>
    </row>
    <row r="75" spans="1:19" x14ac:dyDescent="0.25">
      <c r="A75" s="1">
        <v>-18</v>
      </c>
      <c r="B75" s="3">
        <f t="shared" si="25"/>
        <v>14.48484848484847</v>
      </c>
      <c r="C75" s="3">
        <f t="shared" si="26"/>
        <v>12.3121212121212</v>
      </c>
      <c r="D75" s="1">
        <f t="shared" si="27"/>
        <v>243.63225454545432</v>
      </c>
      <c r="E75" s="59">
        <f t="shared" si="28"/>
        <v>9.6338912133891348E-3</v>
      </c>
      <c r="F75" s="91" t="str">
        <f t="shared" si="29"/>
        <v>Sudah</v>
      </c>
      <c r="G75" s="1">
        <f t="shared" si="30"/>
        <v>390</v>
      </c>
      <c r="H75" s="91" t="str">
        <f t="shared" si="31"/>
        <v>Tarik</v>
      </c>
      <c r="I75" s="3">
        <f t="shared" si="32"/>
        <v>-554.23349276100419</v>
      </c>
      <c r="J75" s="61">
        <f t="shared" si="33"/>
        <v>4.6500000000000048E-2</v>
      </c>
      <c r="K75" s="91" t="str">
        <f t="shared" si="34"/>
        <v>Sudah</v>
      </c>
      <c r="L75" s="1">
        <f t="shared" si="35"/>
        <v>390</v>
      </c>
      <c r="M75" s="91" t="str">
        <f t="shared" si="36"/>
        <v>Tarik</v>
      </c>
      <c r="N75" s="3">
        <f t="shared" si="37"/>
        <v>-593.00702929160946</v>
      </c>
      <c r="O75" s="3">
        <f t="shared" si="38"/>
        <v>-903.60826750715933</v>
      </c>
      <c r="P75" s="60">
        <f t="shared" si="39"/>
        <v>38.49586800846901</v>
      </c>
      <c r="Q75" s="1">
        <f t="shared" si="40"/>
        <v>0.9</v>
      </c>
      <c r="R75" s="3">
        <f t="shared" si="41"/>
        <v>-813.24744075644344</v>
      </c>
      <c r="S75" s="3">
        <f t="shared" si="42"/>
        <v>34.64628120762211</v>
      </c>
    </row>
    <row r="76" spans="1:19" x14ac:dyDescent="0.25">
      <c r="A76" s="1">
        <v>-19</v>
      </c>
      <c r="B76" s="3">
        <f t="shared" si="25"/>
        <v>7.2424242424242493</v>
      </c>
      <c r="C76" s="3">
        <f t="shared" si="26"/>
        <v>6.1560606060606116</v>
      </c>
      <c r="D76" s="1">
        <f t="shared" si="27"/>
        <v>121.81612727272737</v>
      </c>
      <c r="E76" s="59">
        <f t="shared" si="28"/>
        <v>2.226778242677822E-2</v>
      </c>
      <c r="F76" s="91" t="str">
        <f t="shared" si="29"/>
        <v>Sudah</v>
      </c>
      <c r="G76" s="1">
        <f t="shared" si="30"/>
        <v>390</v>
      </c>
      <c r="H76" s="91" t="str">
        <f t="shared" si="31"/>
        <v>Tarik</v>
      </c>
      <c r="I76" s="3">
        <f t="shared" si="32"/>
        <v>-554.23349276100419</v>
      </c>
      <c r="J76" s="61">
        <f t="shared" si="33"/>
        <v>9.5999999999999905E-2</v>
      </c>
      <c r="K76" s="91" t="str">
        <f t="shared" si="34"/>
        <v>Sudah</v>
      </c>
      <c r="L76" s="1">
        <f t="shared" si="35"/>
        <v>390</v>
      </c>
      <c r="M76" s="91" t="str">
        <f t="shared" si="36"/>
        <v>Tarik</v>
      </c>
      <c r="N76" s="3">
        <f t="shared" si="37"/>
        <v>-593.00702929160946</v>
      </c>
      <c r="O76" s="3">
        <f t="shared" si="38"/>
        <v>-1025.4243947798864</v>
      </c>
      <c r="P76" s="60">
        <f t="shared" si="39"/>
        <v>21.348310110989718</v>
      </c>
      <c r="Q76" s="1">
        <f t="shared" si="40"/>
        <v>0.9</v>
      </c>
      <c r="R76" s="3">
        <f t="shared" si="41"/>
        <v>-922.88195530189773</v>
      </c>
      <c r="S76" s="3">
        <f t="shared" si="42"/>
        <v>19.213479099890748</v>
      </c>
    </row>
    <row r="77" spans="1:19" x14ac:dyDescent="0.25">
      <c r="A77" s="1" t="s">
        <v>2031</v>
      </c>
      <c r="B77" s="62">
        <v>9.9999999999999991E-22</v>
      </c>
      <c r="C77" s="3">
        <f>$G$15*B77</f>
        <v>8.4999999999999982E-22</v>
      </c>
      <c r="D77" s="1">
        <f>0.85*$G$5*C77*$G$8/1000</f>
        <v>1.6819799999999994E-20</v>
      </c>
      <c r="E77" s="59">
        <f>ABS(B77-$L$19)/B77*$G$16</f>
        <v>1.8300000000000003E+20</v>
      </c>
      <c r="F77" s="91" t="str">
        <f>IF(E77&lt;$G$6/$G$7,"Belum","Sudah")</f>
        <v>Sudah</v>
      </c>
      <c r="G77" s="1">
        <f>IF(F77="Sudah",$G$6,E77*$G$7)</f>
        <v>390</v>
      </c>
      <c r="H77" s="91" t="str">
        <f>IF(B77&gt;$L$19,"Tekan","Tarik")</f>
        <v>Tarik</v>
      </c>
      <c r="I77" s="3">
        <f>$L$13*(G77-$G$15*$G$5)/1000*IF(H77="Tarik",-1,1)</f>
        <v>-554.23349276100419</v>
      </c>
      <c r="J77" s="61">
        <f>ABS(B77-$L$20)/B77*$G$16</f>
        <v>7.17E+20</v>
      </c>
      <c r="K77" s="91" t="str">
        <f>IF(J77&lt;$G$6/$G$7,"Belum","Sudah")</f>
        <v>Sudah</v>
      </c>
      <c r="L77" s="1">
        <f>IF(K77="Sudah",$G$6,J77*$G$7)</f>
        <v>390</v>
      </c>
      <c r="M77" s="91" t="str">
        <f>IF(B77&gt;$L$20,"Tekan","Tarik")</f>
        <v>Tarik</v>
      </c>
      <c r="N77" s="3">
        <f>$L$14*L77/1000*IF(M77="Tarik",-1,1)</f>
        <v>-593.00702929160946</v>
      </c>
      <c r="O77" s="3">
        <f>(D77+I77+N77)</f>
        <v>-1147.2405220526136</v>
      </c>
      <c r="P77" s="60">
        <f>(D77*($G$9/2-C77/2)+I77*($G$9/2-$L$19)-N77*ABS($G$9/2-$L$20))/1000</f>
        <v>3.4508447512238636</v>
      </c>
      <c r="Q77" s="1">
        <f>IF(J77&lt;0.002,$G$24,IF(J77&gt;0.005,0.9,0.65+(J77-0.002)*(250/3)))</f>
        <v>0.9</v>
      </c>
      <c r="R77" s="3">
        <f>O77*Q77</f>
        <v>-1032.5164698473523</v>
      </c>
      <c r="S77" s="3">
        <f>P77*Q77</f>
        <v>3.1057602761014773</v>
      </c>
    </row>
    <row r="78" spans="1:19" x14ac:dyDescent="0.25">
      <c r="E78" s="68"/>
      <c r="F78" s="68"/>
      <c r="H78" s="68"/>
    </row>
    <row r="79" spans="1:19" x14ac:dyDescent="0.25">
      <c r="B79" s="53"/>
      <c r="C79" s="53"/>
      <c r="I79" s="53"/>
      <c r="J79" s="58"/>
      <c r="K79" s="92"/>
      <c r="M79" s="92"/>
      <c r="N79" s="53"/>
      <c r="O79" s="53"/>
      <c r="P79" s="57"/>
    </row>
    <row r="80" spans="1:19" x14ac:dyDescent="0.25">
      <c r="A80" s="160" t="s">
        <v>216</v>
      </c>
      <c r="B80" s="156" t="s">
        <v>173</v>
      </c>
      <c r="C80" s="156"/>
      <c r="D80" s="156"/>
      <c r="E80" s="156" t="s">
        <v>1092</v>
      </c>
      <c r="F80" s="156"/>
      <c r="G80" s="156"/>
      <c r="H80" s="156"/>
      <c r="I80" s="156"/>
      <c r="J80" s="156" t="s">
        <v>1091</v>
      </c>
      <c r="K80" s="156"/>
      <c r="L80" s="156"/>
      <c r="M80" s="156"/>
      <c r="N80" s="156"/>
      <c r="O80" s="156" t="s">
        <v>2034</v>
      </c>
      <c r="P80" s="156"/>
      <c r="Q80" s="158" t="s">
        <v>201</v>
      </c>
      <c r="R80" s="156" t="s">
        <v>2035</v>
      </c>
      <c r="S80" s="156"/>
    </row>
    <row r="81" spans="1:19" x14ac:dyDescent="0.25">
      <c r="A81" s="160"/>
      <c r="B81" s="91" t="s">
        <v>194</v>
      </c>
      <c r="C81" s="91" t="s">
        <v>195</v>
      </c>
      <c r="D81" s="91" t="s">
        <v>196</v>
      </c>
      <c r="E81" s="91" t="s">
        <v>197</v>
      </c>
      <c r="F81" s="91" t="s">
        <v>213</v>
      </c>
      <c r="G81" s="91" t="s">
        <v>214</v>
      </c>
      <c r="H81" s="91" t="s">
        <v>198</v>
      </c>
      <c r="I81" s="91" t="s">
        <v>204</v>
      </c>
      <c r="J81" s="91" t="s">
        <v>197</v>
      </c>
      <c r="K81" s="91" t="s">
        <v>213</v>
      </c>
      <c r="L81" s="91" t="s">
        <v>214</v>
      </c>
      <c r="M81" s="91" t="s">
        <v>198</v>
      </c>
      <c r="N81" s="91" t="s">
        <v>205</v>
      </c>
      <c r="O81" s="91" t="s">
        <v>207</v>
      </c>
      <c r="P81" s="91" t="s">
        <v>208</v>
      </c>
      <c r="Q81" s="158"/>
      <c r="R81" s="91" t="s">
        <v>207</v>
      </c>
      <c r="S81" s="91" t="s">
        <v>208</v>
      </c>
    </row>
    <row r="82" spans="1:19" x14ac:dyDescent="0.25">
      <c r="A82" s="91" t="s">
        <v>209</v>
      </c>
      <c r="B82" s="1"/>
      <c r="C82" s="1"/>
      <c r="D82" s="1"/>
      <c r="E82" s="59"/>
      <c r="F82" s="91"/>
      <c r="G82" s="1"/>
      <c r="H82" s="91"/>
      <c r="I82" s="3"/>
      <c r="J82" s="1"/>
      <c r="K82" s="1"/>
      <c r="L82" s="1"/>
      <c r="M82" s="1"/>
      <c r="N82" s="1"/>
      <c r="O82" s="3">
        <f>0.8*($G$15*$G$5*($L$12-($L$13+$L$14))+$G$6*($L$13+$L$14))/1000</f>
        <v>5635.8935884176062</v>
      </c>
      <c r="P82" s="1">
        <v>0</v>
      </c>
      <c r="Q82" s="1">
        <f>$G$24</f>
        <v>0.65</v>
      </c>
      <c r="R82" s="3">
        <f>O82*Q82</f>
        <v>3663.330832471444</v>
      </c>
      <c r="S82" s="1">
        <f>P82*Q82</f>
        <v>0</v>
      </c>
    </row>
    <row r="83" spans="1:19" x14ac:dyDescent="0.25">
      <c r="A83" s="1">
        <v>20</v>
      </c>
      <c r="B83" s="3">
        <f>L23</f>
        <v>239</v>
      </c>
      <c r="C83" s="3">
        <f t="shared" ref="C83:C124" si="43">$G$15*B83</f>
        <v>203.15</v>
      </c>
      <c r="D83" s="1">
        <f t="shared" ref="D83:D123" si="44">0.85*$G$5*C83*$G$8/1000</f>
        <v>4019.9321999999997</v>
      </c>
      <c r="E83" s="59">
        <f t="shared" ref="E83:E124" si="45">ABS(B83-$L$23)/B83*$G$16</f>
        <v>0</v>
      </c>
      <c r="F83" s="91" t="str">
        <f t="shared" ref="F83:F123" si="46">IF(E83&lt;$G$6/$G$7,"Belum","Sudah")</f>
        <v>Belum</v>
      </c>
      <c r="G83" s="1">
        <f t="shared" ref="G83:G123" si="47">IF(F83="Sudah",$G$6,E83*$G$7)</f>
        <v>0</v>
      </c>
      <c r="H83" s="91" t="str">
        <f t="shared" ref="H83:H124" si="48">IF(B83&gt;$L$23,"Tekan","Tarik")</f>
        <v>Tarik</v>
      </c>
      <c r="I83" s="3">
        <f>$L$13*G83/1000*IF(H83="Tarik",-1,1)</f>
        <v>0</v>
      </c>
      <c r="J83" s="59">
        <f t="shared" ref="J83:J124" si="49">ABS(B83-$L$24)/B83*$G$16</f>
        <v>2.2343096234309621E-3</v>
      </c>
      <c r="K83" s="91" t="str">
        <f t="shared" ref="K83:K123" si="50">IF(J83&lt;$G$6/$G$7,"Belum","Sudah")</f>
        <v>Sudah</v>
      </c>
      <c r="L83" s="1">
        <f t="shared" ref="L83:L123" si="51">IF(K83="Sudah",$G$6,J83*$G$7)</f>
        <v>390</v>
      </c>
      <c r="M83" s="91" t="str">
        <f t="shared" ref="M83:M124" si="52">IF(B83&gt;$L$24,"Tekan","Tarik")</f>
        <v>Tekan</v>
      </c>
      <c r="N83" s="3">
        <f t="shared" ref="N83:N124" si="53">$L$14*(L83-$G$15*$G$5)/1000*IF(M83="Tarik",-1,1)</f>
        <v>554.23349276100419</v>
      </c>
      <c r="O83" s="3">
        <f t="shared" ref="O83:O124" si="54">(D83+I83+N83)</f>
        <v>4574.1656927610038</v>
      </c>
      <c r="P83" s="60">
        <f t="shared" ref="P83:P124" si="55">-(D83*($G$9/2-C83/2)-I83*ABS($G$9/2-$L$23)+N83*ABS($G$9/2-$L$24))/1000</f>
        <v>-243.99199764072935</v>
      </c>
      <c r="Q83" s="1">
        <f>IF(E83&lt;0.002,$G$24,IF(E83&gt;0.005,0.9,0.65+(E83-0.002)*(250/3)))</f>
        <v>0.65</v>
      </c>
      <c r="R83" s="3">
        <f t="shared" ref="R83:R123" si="56">O83*Q83</f>
        <v>2973.2077002946526</v>
      </c>
      <c r="S83" s="3">
        <f>P83*Q83</f>
        <v>-158.59479846647409</v>
      </c>
    </row>
    <row r="84" spans="1:19" x14ac:dyDescent="0.25">
      <c r="A84" s="1">
        <v>19</v>
      </c>
      <c r="B84" s="3">
        <f>$B$103+(A84/20*($B$83-$B$103))</f>
        <v>234.29242424242423</v>
      </c>
      <c r="C84" s="3">
        <f t="shared" si="43"/>
        <v>199.14856060606058</v>
      </c>
      <c r="D84" s="1">
        <f t="shared" si="44"/>
        <v>3940.7517172727266</v>
      </c>
      <c r="E84" s="59">
        <f t="shared" si="45"/>
        <v>6.0278207109737388E-5</v>
      </c>
      <c r="F84" s="91" t="str">
        <f t="shared" si="46"/>
        <v>Belum</v>
      </c>
      <c r="G84" s="1">
        <f t="shared" si="47"/>
        <v>12.055641421947477</v>
      </c>
      <c r="H84" s="91" t="str">
        <f t="shared" si="48"/>
        <v>Tarik</v>
      </c>
      <c r="I84" s="3">
        <f t="shared" ref="I84:I123" si="57">$L$13*G84/1000*IF(H84="Tarik",-1,1)</f>
        <v>-18.330974630343455</v>
      </c>
      <c r="J84" s="59">
        <f t="shared" si="49"/>
        <v>2.218924809064042E-3</v>
      </c>
      <c r="K84" s="91" t="str">
        <f t="shared" si="50"/>
        <v>Sudah</v>
      </c>
      <c r="L84" s="1">
        <f t="shared" si="51"/>
        <v>390</v>
      </c>
      <c r="M84" s="91" t="str">
        <f t="shared" si="52"/>
        <v>Tekan</v>
      </c>
      <c r="N84" s="3">
        <f t="shared" si="53"/>
        <v>554.23349276100419</v>
      </c>
      <c r="O84" s="3">
        <f t="shared" si="54"/>
        <v>4476.6542354033872</v>
      </c>
      <c r="P84" s="60">
        <f t="shared" si="55"/>
        <v>-249.67347908837644</v>
      </c>
      <c r="Q84" s="1">
        <f t="shared" ref="Q84:Q124" si="58">IF(E84&lt;0.002,$G$24,IF(E84&gt;0.005,0.9,0.65+(E84-0.002)*(250/3)))</f>
        <v>0.65</v>
      </c>
      <c r="R84" s="3">
        <f t="shared" si="56"/>
        <v>2909.8252530122018</v>
      </c>
      <c r="S84" s="3">
        <f t="shared" ref="S84:S123" si="59">P84*Q84</f>
        <v>-162.28776140744469</v>
      </c>
    </row>
    <row r="85" spans="1:19" x14ac:dyDescent="0.25">
      <c r="A85" s="1">
        <v>18</v>
      </c>
      <c r="B85" s="3">
        <f t="shared" ref="B85:B102" si="60">$B$103+(A85/20*($B$83-$B$103))</f>
        <v>229.58484848484849</v>
      </c>
      <c r="C85" s="3">
        <f t="shared" si="43"/>
        <v>195.14712121212122</v>
      </c>
      <c r="D85" s="1">
        <f t="shared" si="44"/>
        <v>3861.5712345454544</v>
      </c>
      <c r="E85" s="59">
        <f t="shared" si="45"/>
        <v>1.2302839116719232E-4</v>
      </c>
      <c r="F85" s="91" t="str">
        <f t="shared" si="46"/>
        <v>Belum</v>
      </c>
      <c r="G85" s="1">
        <f t="shared" si="47"/>
        <v>24.605678233438464</v>
      </c>
      <c r="H85" s="91" t="str">
        <f t="shared" si="48"/>
        <v>Tarik</v>
      </c>
      <c r="I85" s="3">
        <f t="shared" si="57"/>
        <v>-37.413692699786047</v>
      </c>
      <c r="J85" s="59">
        <f t="shared" si="49"/>
        <v>2.2029090717104655E-3</v>
      </c>
      <c r="K85" s="91" t="str">
        <f t="shared" si="50"/>
        <v>Sudah</v>
      </c>
      <c r="L85" s="1">
        <f t="shared" si="51"/>
        <v>390</v>
      </c>
      <c r="M85" s="91" t="str">
        <f t="shared" si="52"/>
        <v>Tekan</v>
      </c>
      <c r="N85" s="3">
        <f t="shared" si="53"/>
        <v>554.23349276100419</v>
      </c>
      <c r="O85" s="3">
        <f t="shared" si="54"/>
        <v>4378.3910346066723</v>
      </c>
      <c r="P85" s="60">
        <f t="shared" si="55"/>
        <v>-255.10502979928734</v>
      </c>
      <c r="Q85" s="1">
        <f t="shared" si="58"/>
        <v>0.65</v>
      </c>
      <c r="R85" s="3">
        <f t="shared" si="56"/>
        <v>2845.9541724943369</v>
      </c>
      <c r="S85" s="3">
        <f t="shared" si="59"/>
        <v>-165.81826936953678</v>
      </c>
    </row>
    <row r="86" spans="1:19" x14ac:dyDescent="0.25">
      <c r="A86" s="1">
        <v>17</v>
      </c>
      <c r="B86" s="3">
        <f t="shared" si="60"/>
        <v>224.87727272727273</v>
      </c>
      <c r="C86" s="3">
        <f t="shared" si="43"/>
        <v>191.1456818181818</v>
      </c>
      <c r="D86" s="1">
        <f t="shared" si="44"/>
        <v>3782.3907518181813</v>
      </c>
      <c r="E86" s="59">
        <f t="shared" si="45"/>
        <v>1.8840579710144932E-4</v>
      </c>
      <c r="F86" s="91" t="str">
        <f t="shared" si="46"/>
        <v>Belum</v>
      </c>
      <c r="G86" s="1">
        <f t="shared" si="47"/>
        <v>37.681159420289866</v>
      </c>
      <c r="H86" s="91" t="str">
        <f t="shared" si="48"/>
        <v>Tarik</v>
      </c>
      <c r="I86" s="3">
        <f t="shared" si="57"/>
        <v>-57.295365148947788</v>
      </c>
      <c r="J86" s="59">
        <f t="shared" si="49"/>
        <v>2.186222788187496E-3</v>
      </c>
      <c r="K86" s="91" t="str">
        <f t="shared" si="50"/>
        <v>Sudah</v>
      </c>
      <c r="L86" s="1">
        <f t="shared" si="51"/>
        <v>390</v>
      </c>
      <c r="M86" s="91" t="str">
        <f t="shared" si="52"/>
        <v>Tekan</v>
      </c>
      <c r="N86" s="3">
        <f t="shared" si="53"/>
        <v>554.23349276100419</v>
      </c>
      <c r="O86" s="3">
        <f t="shared" si="54"/>
        <v>4279.328879430238</v>
      </c>
      <c r="P86" s="60">
        <f t="shared" si="55"/>
        <v>-260.29085154717717</v>
      </c>
      <c r="Q86" s="1">
        <f t="shared" si="58"/>
        <v>0.65</v>
      </c>
      <c r="R86" s="3">
        <f t="shared" si="56"/>
        <v>2781.5637716296546</v>
      </c>
      <c r="S86" s="3">
        <f t="shared" si="59"/>
        <v>-169.18905350566516</v>
      </c>
    </row>
    <row r="87" spans="1:19" x14ac:dyDescent="0.25">
      <c r="A87" s="1">
        <v>16</v>
      </c>
      <c r="B87" s="3">
        <f t="shared" si="60"/>
        <v>220.16969696969699</v>
      </c>
      <c r="C87" s="3">
        <f t="shared" si="43"/>
        <v>187.14424242424244</v>
      </c>
      <c r="D87" s="1">
        <f t="shared" si="44"/>
        <v>3703.2102690909092</v>
      </c>
      <c r="E87" s="59">
        <f t="shared" si="45"/>
        <v>2.5657894736842084E-4</v>
      </c>
      <c r="F87" s="91" t="str">
        <f t="shared" si="46"/>
        <v>Belum</v>
      </c>
      <c r="G87" s="1">
        <f t="shared" si="47"/>
        <v>51.31578947368417</v>
      </c>
      <c r="H87" s="91" t="str">
        <f t="shared" si="48"/>
        <v>Tarik</v>
      </c>
      <c r="I87" s="3">
        <f t="shared" si="57"/>
        <v>-78.027240696264329</v>
      </c>
      <c r="J87" s="59">
        <f t="shared" si="49"/>
        <v>2.168822946487558E-3</v>
      </c>
      <c r="K87" s="91" t="str">
        <f t="shared" si="50"/>
        <v>Sudah</v>
      </c>
      <c r="L87" s="1">
        <f t="shared" si="51"/>
        <v>390</v>
      </c>
      <c r="M87" s="91" t="str">
        <f t="shared" si="52"/>
        <v>Tekan</v>
      </c>
      <c r="N87" s="3">
        <f t="shared" si="53"/>
        <v>554.23349276100419</v>
      </c>
      <c r="O87" s="3">
        <f t="shared" si="54"/>
        <v>4179.4165211556492</v>
      </c>
      <c r="P87" s="60">
        <f t="shared" si="55"/>
        <v>-265.23550546798668</v>
      </c>
      <c r="Q87" s="1">
        <f t="shared" si="58"/>
        <v>0.65</v>
      </c>
      <c r="R87" s="3">
        <f t="shared" si="56"/>
        <v>2716.6207387511722</v>
      </c>
      <c r="S87" s="3">
        <f t="shared" si="59"/>
        <v>-172.40307855419135</v>
      </c>
    </row>
    <row r="88" spans="1:19" x14ac:dyDescent="0.25">
      <c r="A88" s="1">
        <v>15</v>
      </c>
      <c r="B88" s="3">
        <f t="shared" si="60"/>
        <v>215.46212121212122</v>
      </c>
      <c r="C88" s="3">
        <f t="shared" si="43"/>
        <v>183.14280303030304</v>
      </c>
      <c r="D88" s="1">
        <f t="shared" si="44"/>
        <v>3624.0297863636365</v>
      </c>
      <c r="E88" s="59">
        <f t="shared" si="45"/>
        <v>3.2773109243697474E-4</v>
      </c>
      <c r="F88" s="91" t="str">
        <f t="shared" si="46"/>
        <v>Belum</v>
      </c>
      <c r="G88" s="1">
        <f t="shared" si="47"/>
        <v>65.546218487394952</v>
      </c>
      <c r="H88" s="91" t="str">
        <f t="shared" si="48"/>
        <v>Tarik</v>
      </c>
      <c r="I88" s="3">
        <f t="shared" si="57"/>
        <v>-99.66504693976627</v>
      </c>
      <c r="J88" s="59">
        <f t="shared" si="49"/>
        <v>2.1506627755704792E-3</v>
      </c>
      <c r="K88" s="91" t="str">
        <f t="shared" si="50"/>
        <v>Sudah</v>
      </c>
      <c r="L88" s="1">
        <f t="shared" si="51"/>
        <v>390</v>
      </c>
      <c r="M88" s="91" t="str">
        <f t="shared" si="52"/>
        <v>Tekan</v>
      </c>
      <c r="N88" s="3">
        <f t="shared" si="53"/>
        <v>554.23349276100419</v>
      </c>
      <c r="O88" s="3">
        <f t="shared" si="54"/>
        <v>4078.5982321848742</v>
      </c>
      <c r="P88" s="60">
        <f t="shared" si="55"/>
        <v>-269.94395131794073</v>
      </c>
      <c r="Q88" s="1">
        <f t="shared" si="58"/>
        <v>0.65</v>
      </c>
      <c r="R88" s="3">
        <f t="shared" si="56"/>
        <v>2651.0888509201682</v>
      </c>
      <c r="S88" s="3">
        <f t="shared" si="59"/>
        <v>-175.46356835666148</v>
      </c>
    </row>
    <row r="89" spans="1:19" x14ac:dyDescent="0.25">
      <c r="A89" s="1">
        <v>14</v>
      </c>
      <c r="B89" s="3">
        <f t="shared" si="60"/>
        <v>210.75454545454545</v>
      </c>
      <c r="C89" s="3">
        <f t="shared" si="43"/>
        <v>179.14136363636362</v>
      </c>
      <c r="D89" s="1">
        <f t="shared" si="44"/>
        <v>3544.8493036363639</v>
      </c>
      <c r="E89" s="59">
        <f t="shared" si="45"/>
        <v>4.0206185567010318E-4</v>
      </c>
      <c r="F89" s="91" t="str">
        <f t="shared" si="46"/>
        <v>Belum</v>
      </c>
      <c r="G89" s="1">
        <f t="shared" si="47"/>
        <v>80.412371134020631</v>
      </c>
      <c r="H89" s="91" t="str">
        <f t="shared" si="48"/>
        <v>Tarik</v>
      </c>
      <c r="I89" s="3">
        <f t="shared" si="57"/>
        <v>-122.26949057558957</v>
      </c>
      <c r="J89" s="59">
        <f t="shared" si="49"/>
        <v>2.1316913255402664E-3</v>
      </c>
      <c r="K89" s="91" t="str">
        <f t="shared" si="50"/>
        <v>Sudah</v>
      </c>
      <c r="L89" s="1">
        <f t="shared" si="51"/>
        <v>390</v>
      </c>
      <c r="M89" s="91" t="str">
        <f t="shared" si="52"/>
        <v>Tekan</v>
      </c>
      <c r="N89" s="3">
        <f t="shared" si="53"/>
        <v>554.23349276100419</v>
      </c>
      <c r="O89" s="3">
        <f t="shared" si="54"/>
        <v>3976.8133058217782</v>
      </c>
      <c r="P89" s="60">
        <f t="shared" si="55"/>
        <v>-274.42159199299527</v>
      </c>
      <c r="Q89" s="1">
        <f t="shared" si="58"/>
        <v>0.65</v>
      </c>
      <c r="R89" s="3">
        <f t="shared" si="56"/>
        <v>2584.9286487841559</v>
      </c>
      <c r="S89" s="3">
        <f t="shared" si="59"/>
        <v>-178.37403479544693</v>
      </c>
    </row>
    <row r="90" spans="1:19" x14ac:dyDescent="0.25">
      <c r="A90" s="1">
        <v>13</v>
      </c>
      <c r="B90" s="3">
        <f t="shared" si="60"/>
        <v>206.04696969696971</v>
      </c>
      <c r="C90" s="3">
        <f t="shared" si="43"/>
        <v>175.13992424242426</v>
      </c>
      <c r="D90" s="1">
        <f t="shared" si="44"/>
        <v>3465.6688209090912</v>
      </c>
      <c r="E90" s="59">
        <f t="shared" si="45"/>
        <v>4.7978910369068521E-4</v>
      </c>
      <c r="F90" s="91" t="str">
        <f t="shared" si="46"/>
        <v>Belum</v>
      </c>
      <c r="G90" s="1">
        <f t="shared" si="47"/>
        <v>95.957820738137045</v>
      </c>
      <c r="H90" s="91" t="str">
        <f t="shared" si="48"/>
        <v>Tarik</v>
      </c>
      <c r="I90" s="3">
        <f t="shared" si="57"/>
        <v>-145.90682618774215</v>
      </c>
      <c r="J90" s="59">
        <f t="shared" si="49"/>
        <v>2.1118529902714152E-3</v>
      </c>
      <c r="K90" s="91" t="str">
        <f t="shared" si="50"/>
        <v>Sudah</v>
      </c>
      <c r="L90" s="1">
        <f t="shared" si="51"/>
        <v>390</v>
      </c>
      <c r="M90" s="91" t="str">
        <f t="shared" si="52"/>
        <v>Tekan</v>
      </c>
      <c r="N90" s="3">
        <f t="shared" si="53"/>
        <v>554.23349276100419</v>
      </c>
      <c r="O90" s="3">
        <f t="shared" si="54"/>
        <v>3873.9954874823529</v>
      </c>
      <c r="P90" s="60">
        <f t="shared" si="55"/>
        <v>-278.67432415112705</v>
      </c>
      <c r="Q90" s="1">
        <f t="shared" si="58"/>
        <v>0.65</v>
      </c>
      <c r="R90" s="3">
        <f t="shared" si="56"/>
        <v>2518.0970668635296</v>
      </c>
      <c r="S90" s="3">
        <f t="shared" si="59"/>
        <v>-181.1383106982326</v>
      </c>
    </row>
    <row r="91" spans="1:19" x14ac:dyDescent="0.25">
      <c r="A91" s="1">
        <v>12</v>
      </c>
      <c r="B91" s="3">
        <f t="shared" si="60"/>
        <v>201.33939393939394</v>
      </c>
      <c r="C91" s="3">
        <f t="shared" si="43"/>
        <v>171.13848484848484</v>
      </c>
      <c r="D91" s="1">
        <f t="shared" si="44"/>
        <v>3386.4883381818181</v>
      </c>
      <c r="E91" s="59">
        <f t="shared" si="45"/>
        <v>5.6115107913669055E-4</v>
      </c>
      <c r="F91" s="91" t="str">
        <f t="shared" si="46"/>
        <v>Belum</v>
      </c>
      <c r="G91" s="1">
        <f t="shared" si="47"/>
        <v>112.23021582733811</v>
      </c>
      <c r="H91" s="91" t="str">
        <f t="shared" si="48"/>
        <v>Tarik</v>
      </c>
      <c r="I91" s="3">
        <f t="shared" si="57"/>
        <v>-170.6495048321178</v>
      </c>
      <c r="J91" s="59">
        <f t="shared" si="49"/>
        <v>2.0910869630655308E-3</v>
      </c>
      <c r="K91" s="91" t="str">
        <f t="shared" si="50"/>
        <v>Sudah</v>
      </c>
      <c r="L91" s="1">
        <f t="shared" si="51"/>
        <v>390</v>
      </c>
      <c r="M91" s="91" t="str">
        <f t="shared" si="52"/>
        <v>Tekan</v>
      </c>
      <c r="N91" s="3">
        <f t="shared" si="53"/>
        <v>554.23349276100419</v>
      </c>
      <c r="O91" s="3">
        <f t="shared" si="54"/>
        <v>3770.0723261107046</v>
      </c>
      <c r="P91" s="60">
        <f t="shared" si="55"/>
        <v>-282.7085959363107</v>
      </c>
      <c r="Q91" s="1">
        <f t="shared" si="58"/>
        <v>0.65</v>
      </c>
      <c r="R91" s="3">
        <f t="shared" si="56"/>
        <v>2450.547011971958</v>
      </c>
      <c r="S91" s="3">
        <f t="shared" si="59"/>
        <v>-183.76058735860195</v>
      </c>
    </row>
    <row r="92" spans="1:19" x14ac:dyDescent="0.25">
      <c r="A92" s="1">
        <v>11</v>
      </c>
      <c r="B92" s="3">
        <f t="shared" si="60"/>
        <v>196.63181818181818</v>
      </c>
      <c r="C92" s="3">
        <f t="shared" si="43"/>
        <v>167.13704545454544</v>
      </c>
      <c r="D92" s="1">
        <f t="shared" si="44"/>
        <v>3307.307855454545</v>
      </c>
      <c r="E92" s="59">
        <f t="shared" si="45"/>
        <v>6.4640883977900567E-4</v>
      </c>
      <c r="F92" s="91" t="str">
        <f t="shared" si="46"/>
        <v>Belum</v>
      </c>
      <c r="G92" s="1">
        <f t="shared" si="47"/>
        <v>129.28176795580114</v>
      </c>
      <c r="H92" s="91" t="str">
        <f t="shared" si="48"/>
        <v>Tarik</v>
      </c>
      <c r="I92" s="3">
        <f t="shared" si="57"/>
        <v>-196.57691578727386</v>
      </c>
      <c r="J92" s="59">
        <f t="shared" si="49"/>
        <v>2.0693266141149818E-3</v>
      </c>
      <c r="K92" s="91" t="str">
        <f t="shared" si="50"/>
        <v>Sudah</v>
      </c>
      <c r="L92" s="1">
        <f t="shared" si="51"/>
        <v>390</v>
      </c>
      <c r="M92" s="91" t="str">
        <f t="shared" si="52"/>
        <v>Tekan</v>
      </c>
      <c r="N92" s="3">
        <f t="shared" si="53"/>
        <v>554.23349276100419</v>
      </c>
      <c r="O92" s="3">
        <f t="shared" si="54"/>
        <v>3664.9644324282754</v>
      </c>
      <c r="P92" s="60">
        <f t="shared" si="55"/>
        <v>-286.53147299433772</v>
      </c>
      <c r="Q92" s="1">
        <f t="shared" si="58"/>
        <v>0.65</v>
      </c>
      <c r="R92" s="3">
        <f t="shared" si="56"/>
        <v>2382.2268810783789</v>
      </c>
      <c r="S92" s="3">
        <f t="shared" si="59"/>
        <v>-186.24545744631953</v>
      </c>
    </row>
    <row r="93" spans="1:19" x14ac:dyDescent="0.25">
      <c r="A93" s="1">
        <v>10</v>
      </c>
      <c r="B93" s="3">
        <f t="shared" si="60"/>
        <v>191.92424242424244</v>
      </c>
      <c r="C93" s="3">
        <f t="shared" si="43"/>
        <v>163.13560606060608</v>
      </c>
      <c r="D93" s="1">
        <f t="shared" si="44"/>
        <v>3228.1273727272737</v>
      </c>
      <c r="E93" s="59">
        <f t="shared" si="45"/>
        <v>7.3584905660377333E-4</v>
      </c>
      <c r="F93" s="91" t="str">
        <f t="shared" si="46"/>
        <v>Belum</v>
      </c>
      <c r="G93" s="1">
        <f t="shared" si="47"/>
        <v>147.16981132075466</v>
      </c>
      <c r="H93" s="91" t="str">
        <f t="shared" si="48"/>
        <v>Tarik</v>
      </c>
      <c r="I93" s="3">
        <f t="shared" si="57"/>
        <v>-223.77623746853178</v>
      </c>
      <c r="J93" s="59">
        <f t="shared" si="49"/>
        <v>2.046498776347991E-3</v>
      </c>
      <c r="K93" s="91" t="str">
        <f t="shared" si="50"/>
        <v>Sudah</v>
      </c>
      <c r="L93" s="1">
        <f t="shared" si="51"/>
        <v>390</v>
      </c>
      <c r="M93" s="91" t="str">
        <f t="shared" si="52"/>
        <v>Tekan</v>
      </c>
      <c r="N93" s="3">
        <f t="shared" si="53"/>
        <v>554.23349276100419</v>
      </c>
      <c r="O93" s="3">
        <f t="shared" si="54"/>
        <v>3558.5846280197461</v>
      </c>
      <c r="P93" s="60">
        <f t="shared" si="55"/>
        <v>-290.15071420417183</v>
      </c>
      <c r="Q93" s="1">
        <f t="shared" si="58"/>
        <v>0.65</v>
      </c>
      <c r="R93" s="3">
        <f t="shared" si="56"/>
        <v>2313.0800082128349</v>
      </c>
      <c r="S93" s="3">
        <f t="shared" si="59"/>
        <v>-188.59796423271169</v>
      </c>
    </row>
    <row r="94" spans="1:19" x14ac:dyDescent="0.25">
      <c r="A94" s="1">
        <v>9</v>
      </c>
      <c r="B94" s="3">
        <f t="shared" si="60"/>
        <v>187.21666666666667</v>
      </c>
      <c r="C94" s="3">
        <f t="shared" si="43"/>
        <v>159.13416666666666</v>
      </c>
      <c r="D94" s="1">
        <f t="shared" si="44"/>
        <v>3148.9468900000002</v>
      </c>
      <c r="E94" s="59">
        <f t="shared" si="45"/>
        <v>8.2978723404255326E-4</v>
      </c>
      <c r="F94" s="91" t="str">
        <f t="shared" si="46"/>
        <v>Belum</v>
      </c>
      <c r="G94" s="1">
        <f t="shared" si="47"/>
        <v>165.95744680851064</v>
      </c>
      <c r="H94" s="91" t="str">
        <f t="shared" si="48"/>
        <v>Tarik</v>
      </c>
      <c r="I94" s="3">
        <f t="shared" si="57"/>
        <v>-252.34341671983375</v>
      </c>
      <c r="J94" s="59">
        <f t="shared" si="49"/>
        <v>2.022522923528888E-3</v>
      </c>
      <c r="K94" s="91" t="str">
        <f t="shared" si="50"/>
        <v>Sudah</v>
      </c>
      <c r="L94" s="1">
        <f t="shared" si="51"/>
        <v>390</v>
      </c>
      <c r="M94" s="91" t="str">
        <f t="shared" si="52"/>
        <v>Tekan</v>
      </c>
      <c r="N94" s="3">
        <f t="shared" si="53"/>
        <v>554.23349276100419</v>
      </c>
      <c r="O94" s="3">
        <f t="shared" si="54"/>
        <v>3450.8369660411704</v>
      </c>
      <c r="P94" s="60">
        <f t="shared" si="55"/>
        <v>-293.57485883492376</v>
      </c>
      <c r="Q94" s="1">
        <f t="shared" si="58"/>
        <v>0.65</v>
      </c>
      <c r="R94" s="3">
        <f t="shared" si="56"/>
        <v>2243.0440279267609</v>
      </c>
      <c r="S94" s="3">
        <f t="shared" si="59"/>
        <v>-190.82365824270045</v>
      </c>
    </row>
    <row r="95" spans="1:19" x14ac:dyDescent="0.25">
      <c r="A95" s="1">
        <v>8</v>
      </c>
      <c r="B95" s="3">
        <f t="shared" si="60"/>
        <v>182.5090909090909</v>
      </c>
      <c r="C95" s="3">
        <f t="shared" si="43"/>
        <v>155.13272727272727</v>
      </c>
      <c r="D95" s="1">
        <f t="shared" si="44"/>
        <v>3069.7664072727271</v>
      </c>
      <c r="E95" s="59">
        <f t="shared" si="45"/>
        <v>9.2857142857142878E-4</v>
      </c>
      <c r="F95" s="91" t="str">
        <f t="shared" si="46"/>
        <v>Belum</v>
      </c>
      <c r="G95" s="1">
        <f t="shared" si="47"/>
        <v>185.71428571428575</v>
      </c>
      <c r="H95" s="91" t="str">
        <f t="shared" si="48"/>
        <v>Tarik</v>
      </c>
      <c r="I95" s="3">
        <f t="shared" si="57"/>
        <v>-282.3842996626712</v>
      </c>
      <c r="J95" s="59">
        <f t="shared" si="49"/>
        <v>1.9973102211595936E-3</v>
      </c>
      <c r="K95" s="91" t="str">
        <f t="shared" si="50"/>
        <v>Sudah</v>
      </c>
      <c r="L95" s="1">
        <f t="shared" si="51"/>
        <v>390</v>
      </c>
      <c r="M95" s="91" t="str">
        <f t="shared" si="52"/>
        <v>Tekan</v>
      </c>
      <c r="N95" s="3">
        <f t="shared" si="53"/>
        <v>554.23349276100419</v>
      </c>
      <c r="O95" s="3">
        <f t="shared" si="54"/>
        <v>3341.6156003710598</v>
      </c>
      <c r="P95" s="60">
        <f t="shared" si="55"/>
        <v>-296.8133271914063</v>
      </c>
      <c r="Q95" s="1">
        <f t="shared" si="58"/>
        <v>0.65</v>
      </c>
      <c r="R95" s="3">
        <f t="shared" si="56"/>
        <v>2172.0501402411892</v>
      </c>
      <c r="S95" s="3">
        <f t="shared" si="59"/>
        <v>-192.92866267441411</v>
      </c>
    </row>
    <row r="96" spans="1:19" x14ac:dyDescent="0.25">
      <c r="A96" s="1">
        <v>7</v>
      </c>
      <c r="B96" s="3">
        <f t="shared" si="60"/>
        <v>177.80151515151516</v>
      </c>
      <c r="C96" s="3">
        <f t="shared" si="43"/>
        <v>151.13128787878787</v>
      </c>
      <c r="D96" s="1">
        <f t="shared" si="44"/>
        <v>2990.5859245454544</v>
      </c>
      <c r="E96" s="59">
        <f t="shared" si="45"/>
        <v>1.0325865580448064E-3</v>
      </c>
      <c r="F96" s="91" t="str">
        <f t="shared" si="46"/>
        <v>Belum</v>
      </c>
      <c r="G96" s="1">
        <f t="shared" si="47"/>
        <v>206.51731160896128</v>
      </c>
      <c r="H96" s="91" t="str">
        <f t="shared" si="48"/>
        <v>Tarik</v>
      </c>
      <c r="I96" s="3">
        <f t="shared" si="57"/>
        <v>-314.01594219107625</v>
      </c>
      <c r="J96" s="59">
        <f t="shared" si="49"/>
        <v>1.9707624266078107E-3</v>
      </c>
      <c r="K96" s="91" t="str">
        <f t="shared" si="50"/>
        <v>Sudah</v>
      </c>
      <c r="L96" s="1">
        <f t="shared" si="51"/>
        <v>390</v>
      </c>
      <c r="M96" s="91" t="str">
        <f t="shared" si="52"/>
        <v>Tekan</v>
      </c>
      <c r="N96" s="3">
        <f t="shared" si="53"/>
        <v>554.23349276100419</v>
      </c>
      <c r="O96" s="3">
        <f t="shared" si="54"/>
        <v>3230.8034751153823</v>
      </c>
      <c r="P96" s="60">
        <f t="shared" si="55"/>
        <v>-299.8765372481883</v>
      </c>
      <c r="Q96" s="1">
        <f t="shared" si="58"/>
        <v>0.65</v>
      </c>
      <c r="R96" s="3">
        <f t="shared" si="56"/>
        <v>2100.0222588249985</v>
      </c>
      <c r="S96" s="3">
        <f t="shared" si="59"/>
        <v>-194.9197492113224</v>
      </c>
    </row>
    <row r="97" spans="1:19" x14ac:dyDescent="0.25">
      <c r="A97" s="1">
        <v>6</v>
      </c>
      <c r="B97" s="3">
        <f t="shared" si="60"/>
        <v>173.09393939393939</v>
      </c>
      <c r="C97" s="3">
        <f t="shared" si="43"/>
        <v>147.12984848484848</v>
      </c>
      <c r="D97" s="1">
        <f t="shared" si="44"/>
        <v>2911.4054418181818</v>
      </c>
      <c r="E97" s="59">
        <f t="shared" si="45"/>
        <v>1.1422594142259414E-3</v>
      </c>
      <c r="F97" s="91" t="str">
        <f t="shared" si="46"/>
        <v>Belum</v>
      </c>
      <c r="G97" s="1">
        <f t="shared" si="47"/>
        <v>228.45188284518827</v>
      </c>
      <c r="H97" s="91" t="str">
        <f t="shared" si="48"/>
        <v>Tarik</v>
      </c>
      <c r="I97" s="3">
        <f t="shared" si="57"/>
        <v>-347.36813431307661</v>
      </c>
      <c r="J97" s="59">
        <f t="shared" si="49"/>
        <v>1.9427706097582325E-3</v>
      </c>
      <c r="K97" s="91" t="str">
        <f t="shared" si="50"/>
        <v>Belum</v>
      </c>
      <c r="L97" s="1">
        <f t="shared" si="51"/>
        <v>388.55412195164649</v>
      </c>
      <c r="M97" s="91" t="str">
        <f t="shared" si="52"/>
        <v>Tekan</v>
      </c>
      <c r="N97" s="3">
        <f t="shared" si="53"/>
        <v>552.03499059133219</v>
      </c>
      <c r="O97" s="3">
        <f t="shared" si="54"/>
        <v>3116.0722980964374</v>
      </c>
      <c r="P97" s="60">
        <f t="shared" si="55"/>
        <v>-302.58037362288349</v>
      </c>
      <c r="Q97" s="1">
        <f t="shared" si="58"/>
        <v>0.65</v>
      </c>
      <c r="R97" s="3">
        <f t="shared" si="56"/>
        <v>2025.4469937626843</v>
      </c>
      <c r="S97" s="3">
        <f t="shared" si="59"/>
        <v>-196.67724285487427</v>
      </c>
    </row>
    <row r="98" spans="1:19" x14ac:dyDescent="0.25">
      <c r="A98" s="1">
        <v>5</v>
      </c>
      <c r="B98" s="3">
        <f t="shared" si="60"/>
        <v>168.38636363636363</v>
      </c>
      <c r="C98" s="3">
        <f t="shared" si="43"/>
        <v>143.12840909090909</v>
      </c>
      <c r="D98" s="1">
        <f t="shared" si="44"/>
        <v>2832.2249590909091</v>
      </c>
      <c r="E98" s="59">
        <f t="shared" si="45"/>
        <v>1.2580645161290325E-3</v>
      </c>
      <c r="F98" s="91" t="str">
        <f t="shared" si="46"/>
        <v>Belum</v>
      </c>
      <c r="G98" s="1">
        <f t="shared" si="47"/>
        <v>251.61290322580649</v>
      </c>
      <c r="H98" s="91" t="str">
        <f t="shared" si="48"/>
        <v>Tarik</v>
      </c>
      <c r="I98" s="3">
        <f t="shared" si="57"/>
        <v>-382.58518018813515</v>
      </c>
      <c r="J98" s="59">
        <f t="shared" si="49"/>
        <v>1.9132136590633013E-3</v>
      </c>
      <c r="K98" s="91" t="str">
        <f t="shared" si="50"/>
        <v>Belum</v>
      </c>
      <c r="L98" s="1">
        <f t="shared" si="51"/>
        <v>382.64273181266026</v>
      </c>
      <c r="M98" s="91" t="str">
        <f t="shared" si="52"/>
        <v>Tekan</v>
      </c>
      <c r="N98" s="3">
        <f t="shared" si="53"/>
        <v>543.0465395520913</v>
      </c>
      <c r="O98" s="3">
        <f t="shared" si="54"/>
        <v>2992.6863184548656</v>
      </c>
      <c r="P98" s="60">
        <f t="shared" si="55"/>
        <v>-304.52904062939308</v>
      </c>
      <c r="Q98" s="1">
        <f t="shared" si="58"/>
        <v>0.65</v>
      </c>
      <c r="R98" s="3">
        <f t="shared" si="56"/>
        <v>1945.2461069956628</v>
      </c>
      <c r="S98" s="3">
        <f t="shared" si="59"/>
        <v>-197.94387640910551</v>
      </c>
    </row>
    <row r="99" spans="1:19" x14ac:dyDescent="0.25">
      <c r="A99" s="1">
        <v>4</v>
      </c>
      <c r="B99" s="3">
        <f t="shared" si="60"/>
        <v>163.67878787878789</v>
      </c>
      <c r="C99" s="3">
        <f t="shared" si="43"/>
        <v>139.1269696969697</v>
      </c>
      <c r="D99" s="1">
        <f t="shared" si="44"/>
        <v>2753.044476363636</v>
      </c>
      <c r="E99" s="59">
        <f t="shared" si="45"/>
        <v>1.3805309734513272E-3</v>
      </c>
      <c r="F99" s="91" t="str">
        <f t="shared" si="46"/>
        <v>Belum</v>
      </c>
      <c r="G99" s="1">
        <f t="shared" si="47"/>
        <v>276.10619469026545</v>
      </c>
      <c r="H99" s="91" t="str">
        <f t="shared" si="48"/>
        <v>Tarik</v>
      </c>
      <c r="I99" s="3">
        <f t="shared" si="57"/>
        <v>-419.82798533919242</v>
      </c>
      <c r="J99" s="59">
        <f t="shared" si="49"/>
        <v>1.8819565297885734E-3</v>
      </c>
      <c r="K99" s="91" t="str">
        <f t="shared" si="50"/>
        <v>Belum</v>
      </c>
      <c r="L99" s="1">
        <f t="shared" si="51"/>
        <v>376.39130595771468</v>
      </c>
      <c r="M99" s="91" t="str">
        <f t="shared" si="52"/>
        <v>Tekan</v>
      </c>
      <c r="N99" s="3">
        <f t="shared" si="53"/>
        <v>533.54105371855792</v>
      </c>
      <c r="O99" s="3">
        <f t="shared" si="54"/>
        <v>2866.7575447430017</v>
      </c>
      <c r="P99" s="60">
        <f t="shared" si="55"/>
        <v>-306.29514821195846</v>
      </c>
      <c r="Q99" s="1">
        <f t="shared" si="58"/>
        <v>0.65</v>
      </c>
      <c r="R99" s="3">
        <f t="shared" si="56"/>
        <v>1863.3924040829511</v>
      </c>
      <c r="S99" s="3">
        <f t="shared" si="59"/>
        <v>-199.09184633777301</v>
      </c>
    </row>
    <row r="100" spans="1:19" x14ac:dyDescent="0.25">
      <c r="A100" s="1">
        <v>3</v>
      </c>
      <c r="B100" s="3">
        <f t="shared" si="60"/>
        <v>158.97121212121212</v>
      </c>
      <c r="C100" s="3">
        <f t="shared" si="43"/>
        <v>135.1255303030303</v>
      </c>
      <c r="D100" s="1">
        <f t="shared" si="44"/>
        <v>2673.8639936363638</v>
      </c>
      <c r="E100" s="59">
        <f t="shared" si="45"/>
        <v>1.5102505694760823E-3</v>
      </c>
      <c r="F100" s="91" t="str">
        <f t="shared" si="46"/>
        <v>Belum</v>
      </c>
      <c r="G100" s="1">
        <f t="shared" si="47"/>
        <v>302.05011389521644</v>
      </c>
      <c r="H100" s="91" t="str">
        <f t="shared" si="48"/>
        <v>Tarik</v>
      </c>
      <c r="I100" s="3">
        <f t="shared" si="57"/>
        <v>-459.27651471331939</v>
      </c>
      <c r="J100" s="59">
        <f t="shared" si="49"/>
        <v>1.8488481810123808E-3</v>
      </c>
      <c r="K100" s="91" t="str">
        <f t="shared" si="50"/>
        <v>Belum</v>
      </c>
      <c r="L100" s="1">
        <f t="shared" si="51"/>
        <v>369.76963620247614</v>
      </c>
      <c r="M100" s="91" t="str">
        <f t="shared" si="52"/>
        <v>Tekan</v>
      </c>
      <c r="N100" s="3">
        <f t="shared" si="53"/>
        <v>523.47260061470126</v>
      </c>
      <c r="O100" s="3">
        <f t="shared" si="54"/>
        <v>2738.0600795377454</v>
      </c>
      <c r="P100" s="60">
        <f t="shared" si="55"/>
        <v>-307.89062526050236</v>
      </c>
      <c r="Q100" s="1">
        <f t="shared" si="58"/>
        <v>0.65</v>
      </c>
      <c r="R100" s="3">
        <f t="shared" si="56"/>
        <v>1779.7390516995347</v>
      </c>
      <c r="S100" s="3">
        <f t="shared" si="59"/>
        <v>-200.12890641932654</v>
      </c>
    </row>
    <row r="101" spans="1:19" x14ac:dyDescent="0.25">
      <c r="A101" s="1">
        <v>2</v>
      </c>
      <c r="B101" s="3">
        <f t="shared" si="60"/>
        <v>154.26363636363635</v>
      </c>
      <c r="C101" s="3">
        <f t="shared" si="43"/>
        <v>131.12409090909088</v>
      </c>
      <c r="D101" s="1">
        <f t="shared" si="44"/>
        <v>2594.6835109090903</v>
      </c>
      <c r="E101" s="59">
        <f t="shared" si="45"/>
        <v>1.6478873239436625E-3</v>
      </c>
      <c r="F101" s="91" t="str">
        <f t="shared" si="46"/>
        <v>Belum</v>
      </c>
      <c r="G101" s="1">
        <f t="shared" si="47"/>
        <v>329.57746478873247</v>
      </c>
      <c r="H101" s="91" t="str">
        <f t="shared" si="48"/>
        <v>Tarik</v>
      </c>
      <c r="I101" s="3">
        <f t="shared" si="57"/>
        <v>-501.13270080981084</v>
      </c>
      <c r="J101" s="59">
        <f t="shared" si="49"/>
        <v>1.8137191348930402E-3</v>
      </c>
      <c r="K101" s="91" t="str">
        <f t="shared" si="50"/>
        <v>Belum</v>
      </c>
      <c r="L101" s="1">
        <f t="shared" si="51"/>
        <v>362.74382697860801</v>
      </c>
      <c r="M101" s="91" t="str">
        <f t="shared" si="52"/>
        <v>Tekan</v>
      </c>
      <c r="N101" s="3">
        <f t="shared" si="53"/>
        <v>512.78964098337906</v>
      </c>
      <c r="O101" s="3">
        <f t="shared" si="54"/>
        <v>2606.3404510826585</v>
      </c>
      <c r="P101" s="60">
        <f t="shared" si="55"/>
        <v>-309.32885677357609</v>
      </c>
      <c r="Q101" s="1">
        <f t="shared" si="58"/>
        <v>0.65</v>
      </c>
      <c r="R101" s="3">
        <f t="shared" si="56"/>
        <v>1694.1212932037281</v>
      </c>
      <c r="S101" s="3">
        <f t="shared" si="59"/>
        <v>-201.06375690282448</v>
      </c>
    </row>
    <row r="102" spans="1:19" x14ac:dyDescent="0.25">
      <c r="A102" s="1">
        <v>1</v>
      </c>
      <c r="B102" s="3">
        <f t="shared" si="60"/>
        <v>149.55606060606061</v>
      </c>
      <c r="C102" s="3">
        <f t="shared" si="43"/>
        <v>127.12265151515152</v>
      </c>
      <c r="D102" s="1">
        <f t="shared" si="44"/>
        <v>2515.5030281818185</v>
      </c>
      <c r="E102" s="59">
        <f t="shared" si="45"/>
        <v>1.7941888619854719E-3</v>
      </c>
      <c r="F102" s="91" t="str">
        <f t="shared" si="46"/>
        <v>Belum</v>
      </c>
      <c r="G102" s="1">
        <f t="shared" si="47"/>
        <v>358.8377723970944</v>
      </c>
      <c r="H102" s="91" t="str">
        <f t="shared" si="48"/>
        <v>Tarik</v>
      </c>
      <c r="I102" s="3">
        <f t="shared" si="57"/>
        <v>-545.62390104312715</v>
      </c>
      <c r="J102" s="59">
        <f t="shared" si="49"/>
        <v>1.7763785749744193E-3</v>
      </c>
      <c r="K102" s="91" t="str">
        <f t="shared" si="50"/>
        <v>Belum</v>
      </c>
      <c r="L102" s="1">
        <f t="shared" si="51"/>
        <v>355.27571499488386</v>
      </c>
      <c r="M102" s="91" t="str">
        <f t="shared" si="52"/>
        <v>Tekan</v>
      </c>
      <c r="N102" s="3">
        <f t="shared" si="53"/>
        <v>501.43414636316027</v>
      </c>
      <c r="O102" s="3">
        <f t="shared" si="54"/>
        <v>2471.3132735018517</v>
      </c>
      <c r="P102" s="60">
        <f t="shared" si="55"/>
        <v>-310.62491302799947</v>
      </c>
      <c r="Q102" s="1">
        <f t="shared" si="58"/>
        <v>0.65</v>
      </c>
      <c r="R102" s="3">
        <f t="shared" si="56"/>
        <v>1606.3536277762037</v>
      </c>
      <c r="S102" s="3">
        <f t="shared" si="59"/>
        <v>-201.90619346819966</v>
      </c>
    </row>
    <row r="103" spans="1:19" x14ac:dyDescent="0.25">
      <c r="A103" s="80" t="s">
        <v>211</v>
      </c>
      <c r="B103" s="3">
        <f>(600/(600+$G$6))*$L$23</f>
        <v>144.84848484848484</v>
      </c>
      <c r="C103" s="3">
        <f t="shared" si="43"/>
        <v>123.12121212121211</v>
      </c>
      <c r="D103" s="1">
        <f t="shared" si="44"/>
        <v>2436.3225454545454</v>
      </c>
      <c r="E103" s="59">
        <f t="shared" si="45"/>
        <v>1.9500000000000001E-3</v>
      </c>
      <c r="F103" s="91" t="str">
        <f t="shared" si="46"/>
        <v>Sudah</v>
      </c>
      <c r="G103" s="1">
        <f t="shared" si="47"/>
        <v>390</v>
      </c>
      <c r="H103" s="91" t="str">
        <f t="shared" si="48"/>
        <v>Tarik</v>
      </c>
      <c r="I103" s="3">
        <f t="shared" si="57"/>
        <v>-593.00702929160946</v>
      </c>
      <c r="J103" s="59">
        <f t="shared" si="49"/>
        <v>1.7366108786610879E-3</v>
      </c>
      <c r="K103" s="91" t="str">
        <f t="shared" si="50"/>
        <v>Belum</v>
      </c>
      <c r="L103" s="1">
        <f t="shared" si="51"/>
        <v>347.3221757322176</v>
      </c>
      <c r="M103" s="91" t="str">
        <f t="shared" si="52"/>
        <v>Tekan</v>
      </c>
      <c r="N103" s="3">
        <f t="shared" si="53"/>
        <v>489.34054459262728</v>
      </c>
      <c r="O103" s="3">
        <f t="shared" si="54"/>
        <v>2332.6560607555634</v>
      </c>
      <c r="P103" s="60">
        <f t="shared" si="55"/>
        <v>-311.79582343657859</v>
      </c>
      <c r="Q103" s="1">
        <f t="shared" si="58"/>
        <v>0.65</v>
      </c>
      <c r="R103" s="3">
        <f t="shared" si="56"/>
        <v>1516.2264394911163</v>
      </c>
      <c r="S103" s="3">
        <f t="shared" si="59"/>
        <v>-202.66728523377608</v>
      </c>
    </row>
    <row r="104" spans="1:19" x14ac:dyDescent="0.25">
      <c r="A104" s="1">
        <v>-1</v>
      </c>
      <c r="B104" s="3">
        <f>$B$103+(A104/20*($B$103))</f>
        <v>137.60606060606059</v>
      </c>
      <c r="C104" s="3">
        <f t="shared" si="43"/>
        <v>116.9651515151515</v>
      </c>
      <c r="D104" s="1">
        <f t="shared" si="44"/>
        <v>2314.5064181818179</v>
      </c>
      <c r="E104" s="59">
        <f t="shared" si="45"/>
        <v>2.2105263157894744E-3</v>
      </c>
      <c r="F104" s="91" t="str">
        <f t="shared" si="46"/>
        <v>Sudah</v>
      </c>
      <c r="G104" s="1">
        <f t="shared" si="47"/>
        <v>390</v>
      </c>
      <c r="H104" s="91" t="str">
        <f t="shared" si="48"/>
        <v>Tarik</v>
      </c>
      <c r="I104" s="3">
        <f t="shared" si="57"/>
        <v>-593.00702929160946</v>
      </c>
      <c r="J104" s="59">
        <f t="shared" si="49"/>
        <v>1.6701167143800923E-3</v>
      </c>
      <c r="K104" s="91" t="str">
        <f t="shared" si="50"/>
        <v>Belum</v>
      </c>
      <c r="L104" s="1">
        <f t="shared" si="51"/>
        <v>334.02334287601849</v>
      </c>
      <c r="M104" s="91" t="str">
        <f t="shared" si="52"/>
        <v>Tekan</v>
      </c>
      <c r="N104" s="3">
        <f t="shared" si="53"/>
        <v>469.11925904108807</v>
      </c>
      <c r="O104" s="3">
        <f t="shared" si="54"/>
        <v>2190.6186479312964</v>
      </c>
      <c r="P104" s="60">
        <f t="shared" si="55"/>
        <v>-306.34690544616933</v>
      </c>
      <c r="Q104" s="1">
        <f t="shared" si="58"/>
        <v>0.66754385964912288</v>
      </c>
      <c r="R104" s="3">
        <f t="shared" si="56"/>
        <v>1462.3340272594007</v>
      </c>
      <c r="S104" s="3">
        <f t="shared" si="59"/>
        <v>-204.49999565310077</v>
      </c>
    </row>
    <row r="105" spans="1:19" x14ac:dyDescent="0.25">
      <c r="A105" s="1">
        <v>-2</v>
      </c>
      <c r="B105" s="3">
        <f t="shared" ref="B105:B123" si="61">$B$103+(A105/20*($B$103))</f>
        <v>130.36363636363637</v>
      </c>
      <c r="C105" s="3">
        <f t="shared" si="43"/>
        <v>110.80909090909091</v>
      </c>
      <c r="D105" s="1">
        <f t="shared" si="44"/>
        <v>2192.6902909090909</v>
      </c>
      <c r="E105" s="59">
        <f t="shared" si="45"/>
        <v>2.4999999999999996E-3</v>
      </c>
      <c r="F105" s="91" t="str">
        <f t="shared" si="46"/>
        <v>Sudah</v>
      </c>
      <c r="G105" s="1">
        <f t="shared" si="47"/>
        <v>390</v>
      </c>
      <c r="H105" s="91" t="str">
        <f t="shared" si="48"/>
        <v>Tarik</v>
      </c>
      <c r="I105" s="3">
        <f t="shared" si="57"/>
        <v>-593.00702929160946</v>
      </c>
      <c r="J105" s="59">
        <f t="shared" si="49"/>
        <v>1.596234309623431E-3</v>
      </c>
      <c r="K105" s="91" t="str">
        <f t="shared" si="50"/>
        <v>Belum</v>
      </c>
      <c r="L105" s="1">
        <f t="shared" si="51"/>
        <v>319.24686192468619</v>
      </c>
      <c r="M105" s="91" t="str">
        <f t="shared" si="52"/>
        <v>Tekan</v>
      </c>
      <c r="N105" s="3">
        <f t="shared" si="53"/>
        <v>446.65116398382236</v>
      </c>
      <c r="O105" s="3">
        <f t="shared" si="54"/>
        <v>2046.3344256013038</v>
      </c>
      <c r="P105" s="60">
        <f t="shared" si="55"/>
        <v>-299.94811394746387</v>
      </c>
      <c r="Q105" s="1">
        <f t="shared" si="58"/>
        <v>0.69166666666666665</v>
      </c>
      <c r="R105" s="3">
        <f t="shared" si="56"/>
        <v>1415.3813110409017</v>
      </c>
      <c r="S105" s="3">
        <f t="shared" si="59"/>
        <v>-207.46411214699583</v>
      </c>
    </row>
    <row r="106" spans="1:19" x14ac:dyDescent="0.25">
      <c r="A106" s="1">
        <v>-3</v>
      </c>
      <c r="B106" s="3">
        <f t="shared" si="61"/>
        <v>123.12121212121212</v>
      </c>
      <c r="C106" s="3">
        <f t="shared" si="43"/>
        <v>104.65303030303031</v>
      </c>
      <c r="D106" s="1">
        <f t="shared" si="44"/>
        <v>2070.8741636363634</v>
      </c>
      <c r="E106" s="59">
        <f t="shared" si="45"/>
        <v>2.8235294117647061E-3</v>
      </c>
      <c r="F106" s="91" t="str">
        <f t="shared" si="46"/>
        <v>Sudah</v>
      </c>
      <c r="G106" s="1">
        <f t="shared" si="47"/>
        <v>390</v>
      </c>
      <c r="H106" s="91" t="str">
        <f t="shared" si="48"/>
        <v>Tarik</v>
      </c>
      <c r="I106" s="3">
        <f t="shared" si="57"/>
        <v>-593.00702929160946</v>
      </c>
      <c r="J106" s="59">
        <f t="shared" si="49"/>
        <v>1.5136598572483388E-3</v>
      </c>
      <c r="K106" s="91" t="str">
        <f t="shared" si="50"/>
        <v>Belum</v>
      </c>
      <c r="L106" s="1">
        <f t="shared" si="51"/>
        <v>302.73197144966775</v>
      </c>
      <c r="M106" s="91" t="str">
        <f t="shared" si="52"/>
        <v>Tekan</v>
      </c>
      <c r="N106" s="3">
        <f t="shared" si="53"/>
        <v>421.53976362570188</v>
      </c>
      <c r="O106" s="3">
        <f t="shared" si="54"/>
        <v>1899.4068979704559</v>
      </c>
      <c r="P106" s="60">
        <f t="shared" si="55"/>
        <v>-292.56416081469581</v>
      </c>
      <c r="Q106" s="1">
        <f t="shared" si="58"/>
        <v>0.71862745098039216</v>
      </c>
      <c r="R106" s="3">
        <f t="shared" si="56"/>
        <v>1364.9659374630826</v>
      </c>
      <c r="S106" s="3">
        <f t="shared" si="59"/>
        <v>-210.24463713448239</v>
      </c>
    </row>
    <row r="107" spans="1:19" x14ac:dyDescent="0.25">
      <c r="A107" s="1">
        <v>-4</v>
      </c>
      <c r="B107" s="3">
        <f t="shared" si="61"/>
        <v>115.87878787878788</v>
      </c>
      <c r="C107" s="3">
        <f t="shared" si="43"/>
        <v>98.496969696969686</v>
      </c>
      <c r="D107" s="1">
        <f t="shared" si="44"/>
        <v>1949.0580363636361</v>
      </c>
      <c r="E107" s="59">
        <f t="shared" si="45"/>
        <v>3.1875000000000002E-3</v>
      </c>
      <c r="F107" s="91" t="str">
        <f t="shared" si="46"/>
        <v>Sudah</v>
      </c>
      <c r="G107" s="1">
        <f t="shared" si="47"/>
        <v>390</v>
      </c>
      <c r="H107" s="91" t="str">
        <f t="shared" si="48"/>
        <v>Tarik</v>
      </c>
      <c r="I107" s="3">
        <f t="shared" si="57"/>
        <v>-593.00702929160946</v>
      </c>
      <c r="J107" s="59">
        <f t="shared" si="49"/>
        <v>1.4207635983263598E-3</v>
      </c>
      <c r="K107" s="91" t="str">
        <f t="shared" si="50"/>
        <v>Belum</v>
      </c>
      <c r="L107" s="1">
        <f t="shared" si="51"/>
        <v>284.15271966527195</v>
      </c>
      <c r="M107" s="91" t="str">
        <f t="shared" si="52"/>
        <v>Tekan</v>
      </c>
      <c r="N107" s="3">
        <f t="shared" si="53"/>
        <v>393.28943822281627</v>
      </c>
      <c r="O107" s="3">
        <f t="shared" si="54"/>
        <v>1749.3404452948428</v>
      </c>
      <c r="P107" s="60">
        <f t="shared" si="55"/>
        <v>-284.15093589065714</v>
      </c>
      <c r="Q107" s="1">
        <f t="shared" si="58"/>
        <v>0.74895833333333339</v>
      </c>
      <c r="R107" s="3">
        <f t="shared" si="56"/>
        <v>1310.1831043406166</v>
      </c>
      <c r="S107" s="3">
        <f t="shared" si="59"/>
        <v>-212.81721135977344</v>
      </c>
    </row>
    <row r="108" spans="1:19" x14ac:dyDescent="0.25">
      <c r="A108" s="1">
        <v>-5</v>
      </c>
      <c r="B108" s="3">
        <f t="shared" si="61"/>
        <v>108.63636363636363</v>
      </c>
      <c r="C108" s="3">
        <f t="shared" si="43"/>
        <v>92.340909090909079</v>
      </c>
      <c r="D108" s="1">
        <f t="shared" si="44"/>
        <v>1827.2419090909088</v>
      </c>
      <c r="E108" s="59">
        <f t="shared" si="45"/>
        <v>3.6000000000000008E-3</v>
      </c>
      <c r="F108" s="91" t="str">
        <f t="shared" si="46"/>
        <v>Sudah</v>
      </c>
      <c r="G108" s="1">
        <f t="shared" si="47"/>
        <v>390</v>
      </c>
      <c r="H108" s="91" t="str">
        <f t="shared" si="48"/>
        <v>Tarik</v>
      </c>
      <c r="I108" s="3">
        <f t="shared" si="57"/>
        <v>-593.00702929160946</v>
      </c>
      <c r="J108" s="59">
        <f t="shared" si="49"/>
        <v>1.3154811715481171E-3</v>
      </c>
      <c r="K108" s="91" t="str">
        <f t="shared" si="50"/>
        <v>Belum</v>
      </c>
      <c r="L108" s="1">
        <f t="shared" si="51"/>
        <v>263.09623430962341</v>
      </c>
      <c r="M108" s="91" t="str">
        <f t="shared" si="52"/>
        <v>Tekan</v>
      </c>
      <c r="N108" s="3">
        <f t="shared" si="53"/>
        <v>361.27240276621262</v>
      </c>
      <c r="O108" s="3">
        <f t="shared" si="54"/>
        <v>1595.507282565512</v>
      </c>
      <c r="P108" s="60">
        <f t="shared" si="55"/>
        <v>-274.65256630955105</v>
      </c>
      <c r="Q108" s="1">
        <f t="shared" si="58"/>
        <v>0.78333333333333344</v>
      </c>
      <c r="R108" s="3">
        <f t="shared" si="56"/>
        <v>1249.8140380096513</v>
      </c>
      <c r="S108" s="3">
        <f t="shared" si="59"/>
        <v>-215.14451027581501</v>
      </c>
    </row>
    <row r="109" spans="1:19" x14ac:dyDescent="0.25">
      <c r="A109" s="1">
        <v>-6</v>
      </c>
      <c r="B109" s="3">
        <f t="shared" si="61"/>
        <v>101.39393939393939</v>
      </c>
      <c r="C109" s="3">
        <f t="shared" si="43"/>
        <v>86.184848484848473</v>
      </c>
      <c r="D109" s="1">
        <f t="shared" si="44"/>
        <v>1705.4257818181816</v>
      </c>
      <c r="E109" s="59">
        <f t="shared" si="45"/>
        <v>4.0714285714285722E-3</v>
      </c>
      <c r="F109" s="91" t="str">
        <f t="shared" si="46"/>
        <v>Sudah</v>
      </c>
      <c r="G109" s="1">
        <f t="shared" si="47"/>
        <v>390</v>
      </c>
      <c r="H109" s="91" t="str">
        <f t="shared" si="48"/>
        <v>Tarik</v>
      </c>
      <c r="I109" s="3">
        <f t="shared" si="57"/>
        <v>-593.00702929160946</v>
      </c>
      <c r="J109" s="59">
        <f t="shared" si="49"/>
        <v>1.1951583980872684E-3</v>
      </c>
      <c r="K109" s="91" t="str">
        <f t="shared" si="50"/>
        <v>Belum</v>
      </c>
      <c r="L109" s="1">
        <f t="shared" si="51"/>
        <v>239.03167961745368</v>
      </c>
      <c r="M109" s="91" t="str">
        <f t="shared" si="52"/>
        <v>Tekan</v>
      </c>
      <c r="N109" s="3">
        <f t="shared" si="53"/>
        <v>324.68150510152282</v>
      </c>
      <c r="O109" s="3">
        <f t="shared" si="54"/>
        <v>1437.1002576280948</v>
      </c>
      <c r="P109" s="60">
        <f t="shared" si="55"/>
        <v>-263.99721552963888</v>
      </c>
      <c r="Q109" s="1">
        <f t="shared" si="58"/>
        <v>0.82261904761904769</v>
      </c>
      <c r="R109" s="3">
        <f t="shared" si="56"/>
        <v>1182.1860452631115</v>
      </c>
      <c r="S109" s="3">
        <f t="shared" si="59"/>
        <v>-217.169138013072</v>
      </c>
    </row>
    <row r="110" spans="1:19" x14ac:dyDescent="0.25">
      <c r="A110" s="1">
        <v>-7</v>
      </c>
      <c r="B110" s="3">
        <f t="shared" si="61"/>
        <v>94.151515151515156</v>
      </c>
      <c r="C110" s="3">
        <f t="shared" si="43"/>
        <v>80.028787878787881</v>
      </c>
      <c r="D110" s="1">
        <f t="shared" si="44"/>
        <v>1583.6096545454545</v>
      </c>
      <c r="E110" s="59">
        <f t="shared" si="45"/>
        <v>4.6153846153846149E-3</v>
      </c>
      <c r="F110" s="91" t="str">
        <f t="shared" si="46"/>
        <v>Sudah</v>
      </c>
      <c r="G110" s="1">
        <f t="shared" si="47"/>
        <v>390</v>
      </c>
      <c r="H110" s="91" t="str">
        <f t="shared" si="48"/>
        <v>Tarik</v>
      </c>
      <c r="I110" s="3">
        <f t="shared" si="57"/>
        <v>-593.00702929160946</v>
      </c>
      <c r="J110" s="59">
        <f t="shared" si="49"/>
        <v>1.0563244287093662E-3</v>
      </c>
      <c r="K110" s="91" t="str">
        <f t="shared" si="50"/>
        <v>Belum</v>
      </c>
      <c r="L110" s="1">
        <f t="shared" si="51"/>
        <v>211.26488574187323</v>
      </c>
      <c r="M110" s="91" t="str">
        <f t="shared" si="52"/>
        <v>Tekan</v>
      </c>
      <c r="N110" s="3">
        <f t="shared" si="53"/>
        <v>282.46123856534228</v>
      </c>
      <c r="O110" s="3">
        <f t="shared" si="54"/>
        <v>1273.0638638191874</v>
      </c>
      <c r="P110" s="60">
        <f t="shared" si="55"/>
        <v>-252.09094345787753</v>
      </c>
      <c r="Q110" s="1">
        <f t="shared" si="58"/>
        <v>0.86794871794871797</v>
      </c>
      <c r="R110" s="3">
        <f t="shared" si="56"/>
        <v>1104.9541484687049</v>
      </c>
      <c r="S110" s="3">
        <f t="shared" si="59"/>
        <v>-218.80201118074754</v>
      </c>
    </row>
    <row r="111" spans="1:19" x14ac:dyDescent="0.25">
      <c r="A111" s="1">
        <v>-8</v>
      </c>
      <c r="B111" s="3">
        <f t="shared" si="61"/>
        <v>86.909090909090907</v>
      </c>
      <c r="C111" s="3">
        <f t="shared" si="43"/>
        <v>73.872727272727275</v>
      </c>
      <c r="D111" s="1">
        <f t="shared" si="44"/>
        <v>1461.7935272727273</v>
      </c>
      <c r="E111" s="59">
        <f t="shared" si="45"/>
        <v>5.2500000000000003E-3</v>
      </c>
      <c r="F111" s="91" t="str">
        <f t="shared" si="46"/>
        <v>Sudah</v>
      </c>
      <c r="G111" s="1">
        <f t="shared" si="47"/>
        <v>390</v>
      </c>
      <c r="H111" s="91" t="str">
        <f t="shared" si="48"/>
        <v>Tarik</v>
      </c>
      <c r="I111" s="3">
        <f t="shared" si="57"/>
        <v>-593.00702929160946</v>
      </c>
      <c r="J111" s="59">
        <f t="shared" si="49"/>
        <v>8.9435146443514642E-4</v>
      </c>
      <c r="K111" s="91" t="str">
        <f t="shared" si="50"/>
        <v>Belum</v>
      </c>
      <c r="L111" s="1">
        <f t="shared" si="51"/>
        <v>178.87029288702928</v>
      </c>
      <c r="M111" s="91" t="str">
        <f t="shared" si="52"/>
        <v>Tekan</v>
      </c>
      <c r="N111" s="3">
        <f t="shared" si="53"/>
        <v>233.20426093979813</v>
      </c>
      <c r="O111" s="3">
        <f t="shared" si="54"/>
        <v>1101.9907589209161</v>
      </c>
      <c r="P111" s="60">
        <f t="shared" si="55"/>
        <v>-238.80849663687624</v>
      </c>
      <c r="Q111" s="1">
        <f t="shared" si="58"/>
        <v>0.9</v>
      </c>
      <c r="R111" s="3">
        <f t="shared" si="56"/>
        <v>991.79168302882442</v>
      </c>
      <c r="S111" s="3">
        <f t="shared" si="59"/>
        <v>-214.92764697318862</v>
      </c>
    </row>
    <row r="112" spans="1:19" x14ac:dyDescent="0.25">
      <c r="A112" s="1">
        <v>-9</v>
      </c>
      <c r="B112" s="3">
        <f t="shared" si="61"/>
        <v>79.666666666666657</v>
      </c>
      <c r="C112" s="3">
        <f t="shared" si="43"/>
        <v>67.716666666666654</v>
      </c>
      <c r="D112" s="1">
        <f t="shared" si="44"/>
        <v>1339.9773999999998</v>
      </c>
      <c r="E112" s="59">
        <f t="shared" si="45"/>
        <v>6.0000000000000019E-3</v>
      </c>
      <c r="F112" s="91" t="str">
        <f t="shared" si="46"/>
        <v>Sudah</v>
      </c>
      <c r="G112" s="1">
        <f t="shared" si="47"/>
        <v>390</v>
      </c>
      <c r="H112" s="91" t="str">
        <f t="shared" si="48"/>
        <v>Tarik</v>
      </c>
      <c r="I112" s="3">
        <f t="shared" si="57"/>
        <v>-593.00702929160946</v>
      </c>
      <c r="J112" s="59">
        <f t="shared" si="49"/>
        <v>7.0292887029288682E-4</v>
      </c>
      <c r="K112" s="91" t="str">
        <f t="shared" si="50"/>
        <v>Belum</v>
      </c>
      <c r="L112" s="1">
        <f t="shared" si="51"/>
        <v>140.58577405857736</v>
      </c>
      <c r="M112" s="91" t="str">
        <f t="shared" si="52"/>
        <v>Tekan</v>
      </c>
      <c r="N112" s="3">
        <f t="shared" si="53"/>
        <v>174.99146920051876</v>
      </c>
      <c r="O112" s="3">
        <f t="shared" si="54"/>
        <v>921.96183990890904</v>
      </c>
      <c r="P112" s="60">
        <f t="shared" si="55"/>
        <v>-223.97907489746606</v>
      </c>
      <c r="Q112" s="1">
        <f t="shared" si="58"/>
        <v>0.9</v>
      </c>
      <c r="R112" s="3">
        <f t="shared" si="56"/>
        <v>829.76565591801818</v>
      </c>
      <c r="S112" s="3">
        <f t="shared" si="59"/>
        <v>-201.58116740771945</v>
      </c>
    </row>
    <row r="113" spans="1:19" x14ac:dyDescent="0.25">
      <c r="A113" s="1">
        <v>-10</v>
      </c>
      <c r="B113" s="3">
        <f t="shared" si="61"/>
        <v>72.424242424242422</v>
      </c>
      <c r="C113" s="3">
        <f t="shared" si="43"/>
        <v>61.560606060606055</v>
      </c>
      <c r="D113" s="1">
        <f t="shared" si="44"/>
        <v>1218.1612727272727</v>
      </c>
      <c r="E113" s="59">
        <f t="shared" si="45"/>
        <v>6.8999999999999999E-3</v>
      </c>
      <c r="F113" s="91" t="str">
        <f t="shared" si="46"/>
        <v>Sudah</v>
      </c>
      <c r="G113" s="1">
        <f t="shared" si="47"/>
        <v>390</v>
      </c>
      <c r="H113" s="91" t="str">
        <f t="shared" si="48"/>
        <v>Tarik</v>
      </c>
      <c r="I113" s="3">
        <f t="shared" si="57"/>
        <v>-593.00702929160946</v>
      </c>
      <c r="J113" s="59">
        <f t="shared" si="49"/>
        <v>4.7322175732217569E-4</v>
      </c>
      <c r="K113" s="91" t="str">
        <f t="shared" si="50"/>
        <v>Belum</v>
      </c>
      <c r="L113" s="1">
        <f t="shared" si="51"/>
        <v>94.644351464435132</v>
      </c>
      <c r="M113" s="91" t="str">
        <f t="shared" si="52"/>
        <v>Tekan</v>
      </c>
      <c r="N113" s="3">
        <f t="shared" si="53"/>
        <v>105.13611911338364</v>
      </c>
      <c r="O113" s="3">
        <f t="shared" si="54"/>
        <v>730.2903625490469</v>
      </c>
      <c r="P113" s="60">
        <f t="shared" si="55"/>
        <v>-207.36355800281024</v>
      </c>
      <c r="Q113" s="1">
        <f t="shared" si="58"/>
        <v>0.9</v>
      </c>
      <c r="R113" s="3">
        <f t="shared" si="56"/>
        <v>657.26132629414224</v>
      </c>
      <c r="S113" s="3">
        <f t="shared" si="59"/>
        <v>-186.62720220252922</v>
      </c>
    </row>
    <row r="114" spans="1:19" x14ac:dyDescent="0.25">
      <c r="A114" s="1">
        <v>-11</v>
      </c>
      <c r="B114" s="3">
        <f t="shared" si="61"/>
        <v>65.181818181818173</v>
      </c>
      <c r="C114" s="3">
        <f t="shared" si="43"/>
        <v>55.404545454545442</v>
      </c>
      <c r="D114" s="1">
        <f t="shared" si="44"/>
        <v>1096.345145454545</v>
      </c>
      <c r="E114" s="59">
        <f t="shared" si="45"/>
        <v>8.0000000000000019E-3</v>
      </c>
      <c r="F114" s="91" t="str">
        <f t="shared" si="46"/>
        <v>Sudah</v>
      </c>
      <c r="G114" s="1">
        <f t="shared" si="47"/>
        <v>390</v>
      </c>
      <c r="H114" s="91" t="str">
        <f t="shared" si="48"/>
        <v>Tarik</v>
      </c>
      <c r="I114" s="3">
        <f t="shared" si="57"/>
        <v>-593.00702929160946</v>
      </c>
      <c r="J114" s="59">
        <f t="shared" si="49"/>
        <v>1.9246861924686155E-4</v>
      </c>
      <c r="K114" s="91" t="str">
        <f t="shared" si="50"/>
        <v>Belum</v>
      </c>
      <c r="L114" s="1">
        <f t="shared" si="51"/>
        <v>38.493723849372309</v>
      </c>
      <c r="M114" s="91" t="str">
        <f t="shared" si="52"/>
        <v>Tekan</v>
      </c>
      <c r="N114" s="3">
        <f t="shared" si="53"/>
        <v>19.757357895773868</v>
      </c>
      <c r="O114" s="3">
        <f t="shared" si="54"/>
        <v>523.09547405870944</v>
      </c>
      <c r="P114" s="60">
        <f t="shared" si="55"/>
        <v>-188.6165500552556</v>
      </c>
      <c r="Q114" s="1">
        <f t="shared" si="58"/>
        <v>0.9</v>
      </c>
      <c r="R114" s="3">
        <f t="shared" si="56"/>
        <v>470.7859266528385</v>
      </c>
      <c r="S114" s="3">
        <f t="shared" si="59"/>
        <v>-169.75489504973004</v>
      </c>
    </row>
    <row r="115" spans="1:19" x14ac:dyDescent="0.25">
      <c r="A115" s="1">
        <v>-12</v>
      </c>
      <c r="B115" s="3">
        <f t="shared" si="61"/>
        <v>57.939393939393938</v>
      </c>
      <c r="C115" s="3">
        <f t="shared" si="43"/>
        <v>49.248484848484843</v>
      </c>
      <c r="D115" s="1">
        <f t="shared" si="44"/>
        <v>974.52901818181806</v>
      </c>
      <c r="E115" s="59">
        <f t="shared" si="45"/>
        <v>9.3749999999999997E-3</v>
      </c>
      <c r="F115" s="91" t="str">
        <f t="shared" si="46"/>
        <v>Sudah</v>
      </c>
      <c r="G115" s="1">
        <f t="shared" si="47"/>
        <v>390</v>
      </c>
      <c r="H115" s="91" t="str">
        <f t="shared" si="48"/>
        <v>Tarik</v>
      </c>
      <c r="I115" s="3">
        <f t="shared" si="57"/>
        <v>-593.00702929160946</v>
      </c>
      <c r="J115" s="59">
        <f t="shared" si="49"/>
        <v>1.5847280334728043E-4</v>
      </c>
      <c r="K115" s="91" t="str">
        <f t="shared" si="50"/>
        <v>Belum</v>
      </c>
      <c r="L115" s="1">
        <f t="shared" si="51"/>
        <v>31.694560669456088</v>
      </c>
      <c r="M115" s="91" t="str">
        <f t="shared" si="52"/>
        <v>Tarik</v>
      </c>
      <c r="N115" s="3">
        <f t="shared" si="53"/>
        <v>-9.4190205650276866</v>
      </c>
      <c r="O115" s="3">
        <f t="shared" si="54"/>
        <v>372.10296832518094</v>
      </c>
      <c r="P115" s="60">
        <f t="shared" si="55"/>
        <v>-174.12164671077048</v>
      </c>
      <c r="Q115" s="1">
        <f t="shared" si="58"/>
        <v>0.9</v>
      </c>
      <c r="R115" s="3">
        <f t="shared" si="56"/>
        <v>334.89267149266283</v>
      </c>
      <c r="S115" s="3">
        <f t="shared" si="59"/>
        <v>-156.70948203969343</v>
      </c>
    </row>
    <row r="116" spans="1:19" x14ac:dyDescent="0.25">
      <c r="A116" s="1">
        <v>-13</v>
      </c>
      <c r="B116" s="3">
        <f t="shared" si="61"/>
        <v>50.696969696969688</v>
      </c>
      <c r="C116" s="3">
        <f t="shared" si="43"/>
        <v>43.092424242424237</v>
      </c>
      <c r="D116" s="1">
        <f t="shared" si="44"/>
        <v>852.71289090909079</v>
      </c>
      <c r="E116" s="59">
        <f t="shared" si="45"/>
        <v>1.1142857142857145E-2</v>
      </c>
      <c r="F116" s="91" t="str">
        <f t="shared" si="46"/>
        <v>Sudah</v>
      </c>
      <c r="G116" s="1">
        <f t="shared" si="47"/>
        <v>390</v>
      </c>
      <c r="H116" s="91" t="str">
        <f t="shared" si="48"/>
        <v>Tarik</v>
      </c>
      <c r="I116" s="3">
        <f t="shared" si="57"/>
        <v>-593.00702929160946</v>
      </c>
      <c r="J116" s="59">
        <f t="shared" si="49"/>
        <v>6.0968320382546386E-4</v>
      </c>
      <c r="K116" s="91" t="str">
        <f t="shared" si="50"/>
        <v>Belum</v>
      </c>
      <c r="L116" s="1">
        <f t="shared" si="51"/>
        <v>121.93664076509278</v>
      </c>
      <c r="M116" s="91" t="str">
        <f t="shared" si="52"/>
        <v>Tarik</v>
      </c>
      <c r="N116" s="3">
        <f t="shared" si="53"/>
        <v>-146.63488680761483</v>
      </c>
      <c r="O116" s="3">
        <f t="shared" si="54"/>
        <v>113.0709748098665</v>
      </c>
      <c r="P116" s="60">
        <f t="shared" si="55"/>
        <v>-149.26132149141986</v>
      </c>
      <c r="Q116" s="1">
        <f t="shared" si="58"/>
        <v>0.9</v>
      </c>
      <c r="R116" s="3">
        <f t="shared" si="56"/>
        <v>101.76387732887986</v>
      </c>
      <c r="S116" s="3">
        <f t="shared" si="59"/>
        <v>-134.33518934227789</v>
      </c>
    </row>
    <row r="117" spans="1:19" x14ac:dyDescent="0.25">
      <c r="A117" s="1" t="s">
        <v>215</v>
      </c>
      <c r="B117" s="62">
        <v>47.853083782708516</v>
      </c>
      <c r="C117" s="3">
        <f t="shared" ref="C117" si="62">$G$15*B117</f>
        <v>40.675121215302241</v>
      </c>
      <c r="D117" s="1">
        <f t="shared" ref="D117" si="63">0.85*$G$5*C117*$G$8/1000</f>
        <v>804.87929860840075</v>
      </c>
      <c r="E117" s="59">
        <f t="shared" ref="E117" si="64">ABS(B117-$L$23)/B117*$G$16</f>
        <v>1.1983360388136251E-2</v>
      </c>
      <c r="F117" s="97" t="str">
        <f t="shared" ref="F117" si="65">IF(E117&lt;$G$6/$G$7,"Belum","Sudah")</f>
        <v>Sudah</v>
      </c>
      <c r="G117" s="1">
        <f t="shared" ref="G117" si="66">IF(F117="Sudah",$G$6,E117*$G$7)</f>
        <v>390</v>
      </c>
      <c r="H117" s="97" t="str">
        <f t="shared" ref="H117" si="67">IF(B117&gt;$L$23,"Tekan","Tarik")</f>
        <v>Tarik</v>
      </c>
      <c r="I117" s="3">
        <f t="shared" ref="I117" si="68">$L$13*G117/1000*IF(H117="Tarik",-1,1)</f>
        <v>-593.00702929160946</v>
      </c>
      <c r="J117" s="59">
        <f t="shared" ref="J117" si="69">ABS(B117-$L$24)/B117*$G$16</f>
        <v>8.2420495262054932E-4</v>
      </c>
      <c r="K117" s="97" t="str">
        <f t="shared" ref="K117" si="70">IF(J117&lt;$G$6/$G$7,"Belum","Sudah")</f>
        <v>Belum</v>
      </c>
      <c r="L117" s="1">
        <f t="shared" ref="L117" si="71">IF(K117="Sudah",$G$6,J117*$G$7)</f>
        <v>164.84099052410986</v>
      </c>
      <c r="M117" s="97" t="str">
        <f t="shared" ref="M117" si="72">IF(B117&gt;$L$24,"Tekan","Tarik")</f>
        <v>Tarik</v>
      </c>
      <c r="N117" s="3">
        <f t="shared" ref="N117" si="73">$L$14*(L117-$G$15*$G$5)/1000*IF(M117="Tarik",-1,1)</f>
        <v>-211.87227397244274</v>
      </c>
      <c r="O117" s="3">
        <f t="shared" ref="O117" si="74">(D117+I117+N117)</f>
        <v>-4.6556514519124903E-6</v>
      </c>
      <c r="P117" s="60">
        <f t="shared" ref="P117" si="75">-(D117*($G$9/2-C117/2)-I117*ABS($G$9/2-$L$23)+N117*ABS($G$9/2-$L$24))/1000</f>
        <v>-138.28360649737388</v>
      </c>
      <c r="Q117" s="1">
        <f t="shared" ref="Q117" si="76">IF(E117&lt;0.002,$G$24,IF(E117&gt;0.005,0.9,0.65+(E117-0.002)*(250/3)))</f>
        <v>0.9</v>
      </c>
      <c r="R117" s="3">
        <f t="shared" ref="R117" si="77">O117*Q117</f>
        <v>-4.1900863067212418E-6</v>
      </c>
      <c r="S117" s="3">
        <f t="shared" ref="S117" si="78">P117*Q117</f>
        <v>-124.45524584763649</v>
      </c>
    </row>
    <row r="118" spans="1:19" x14ac:dyDescent="0.25">
      <c r="A118" s="1">
        <v>-14</v>
      </c>
      <c r="B118" s="3">
        <f t="shared" si="61"/>
        <v>43.454545454545453</v>
      </c>
      <c r="C118" s="3">
        <f t="shared" si="43"/>
        <v>36.936363636363637</v>
      </c>
      <c r="D118" s="1">
        <f t="shared" si="44"/>
        <v>730.89676363636363</v>
      </c>
      <c r="E118" s="59">
        <f t="shared" si="45"/>
        <v>1.3500000000000003E-2</v>
      </c>
      <c r="F118" s="91" t="str">
        <f t="shared" si="46"/>
        <v>Sudah</v>
      </c>
      <c r="G118" s="1">
        <f t="shared" si="47"/>
        <v>390</v>
      </c>
      <c r="H118" s="91" t="str">
        <f t="shared" si="48"/>
        <v>Tarik</v>
      </c>
      <c r="I118" s="3">
        <f t="shared" si="57"/>
        <v>-593.00702929160946</v>
      </c>
      <c r="J118" s="59">
        <f t="shared" si="49"/>
        <v>1.2112970711297072E-3</v>
      </c>
      <c r="K118" s="91" t="str">
        <f t="shared" si="50"/>
        <v>Belum</v>
      </c>
      <c r="L118" s="1">
        <f t="shared" si="51"/>
        <v>242.25941422594144</v>
      </c>
      <c r="M118" s="91" t="str">
        <f t="shared" si="52"/>
        <v>Tarik</v>
      </c>
      <c r="N118" s="3">
        <f t="shared" si="53"/>
        <v>-329.589375131064</v>
      </c>
      <c r="O118" s="3">
        <f t="shared" si="54"/>
        <v>-191.69964078630983</v>
      </c>
      <c r="P118" s="60">
        <f t="shared" si="55"/>
        <v>-119.58035144458606</v>
      </c>
      <c r="Q118" s="1">
        <f t="shared" si="58"/>
        <v>0.9</v>
      </c>
      <c r="R118" s="3">
        <f t="shared" si="56"/>
        <v>-172.52967670767885</v>
      </c>
      <c r="S118" s="3">
        <f t="shared" si="59"/>
        <v>-107.62231630012745</v>
      </c>
    </row>
    <row r="119" spans="1:19" x14ac:dyDescent="0.25">
      <c r="A119" s="1">
        <v>-15</v>
      </c>
      <c r="B119" s="3">
        <f t="shared" si="61"/>
        <v>36.212121212121218</v>
      </c>
      <c r="C119" s="3">
        <f t="shared" si="43"/>
        <v>30.780303030303035</v>
      </c>
      <c r="D119" s="1">
        <f t="shared" si="44"/>
        <v>609.08063636363647</v>
      </c>
      <c r="E119" s="59">
        <f t="shared" si="45"/>
        <v>1.6799999999999995E-2</v>
      </c>
      <c r="F119" s="91" t="str">
        <f t="shared" si="46"/>
        <v>Sudah</v>
      </c>
      <c r="G119" s="1">
        <f t="shared" si="47"/>
        <v>390</v>
      </c>
      <c r="H119" s="91" t="str">
        <f t="shared" si="48"/>
        <v>Tarik</v>
      </c>
      <c r="I119" s="3">
        <f t="shared" si="57"/>
        <v>-593.00702929160946</v>
      </c>
      <c r="J119" s="59">
        <f t="shared" si="49"/>
        <v>2.0535564853556478E-3</v>
      </c>
      <c r="K119" s="91" t="str">
        <f t="shared" si="50"/>
        <v>Sudah</v>
      </c>
      <c r="L119" s="1">
        <f t="shared" si="51"/>
        <v>390</v>
      </c>
      <c r="M119" s="91" t="str">
        <f t="shared" si="52"/>
        <v>Tarik</v>
      </c>
      <c r="N119" s="3">
        <f t="shared" si="53"/>
        <v>-554.23349276100419</v>
      </c>
      <c r="O119" s="3">
        <f t="shared" si="54"/>
        <v>-538.15988568897717</v>
      </c>
      <c r="P119" s="60">
        <f t="shared" si="55"/>
        <v>-85.439096927188061</v>
      </c>
      <c r="Q119" s="1">
        <f t="shared" si="58"/>
        <v>0.9</v>
      </c>
      <c r="R119" s="3">
        <f t="shared" si="56"/>
        <v>-484.34389712007948</v>
      </c>
      <c r="S119" s="3">
        <f t="shared" si="59"/>
        <v>-76.895187234469262</v>
      </c>
    </row>
    <row r="120" spans="1:19" x14ac:dyDescent="0.25">
      <c r="A120" s="1">
        <v>-16</v>
      </c>
      <c r="B120" s="3">
        <f t="shared" si="61"/>
        <v>28.969696969696969</v>
      </c>
      <c r="C120" s="3">
        <f t="shared" si="43"/>
        <v>24.624242424242421</v>
      </c>
      <c r="D120" s="1">
        <f t="shared" si="44"/>
        <v>487.26450909090903</v>
      </c>
      <c r="E120" s="59">
        <f t="shared" si="45"/>
        <v>2.1750000000000002E-2</v>
      </c>
      <c r="F120" s="91" t="str">
        <f t="shared" si="46"/>
        <v>Sudah</v>
      </c>
      <c r="G120" s="1">
        <f t="shared" si="47"/>
        <v>390</v>
      </c>
      <c r="H120" s="91" t="str">
        <f t="shared" si="48"/>
        <v>Tarik</v>
      </c>
      <c r="I120" s="3">
        <f t="shared" si="57"/>
        <v>-593.00702929160946</v>
      </c>
      <c r="J120" s="59">
        <f t="shared" si="49"/>
        <v>3.3169456066945609E-3</v>
      </c>
      <c r="K120" s="91" t="str">
        <f t="shared" si="50"/>
        <v>Sudah</v>
      </c>
      <c r="L120" s="1">
        <f t="shared" si="51"/>
        <v>390</v>
      </c>
      <c r="M120" s="91" t="str">
        <f t="shared" si="52"/>
        <v>Tarik</v>
      </c>
      <c r="N120" s="3">
        <f t="shared" si="53"/>
        <v>-554.23349276100419</v>
      </c>
      <c r="O120" s="3">
        <f t="shared" si="54"/>
        <v>-659.97601296170455</v>
      </c>
      <c r="P120" s="60">
        <f t="shared" si="55"/>
        <v>-70.541261416568204</v>
      </c>
      <c r="Q120" s="1">
        <f t="shared" si="58"/>
        <v>0.9</v>
      </c>
      <c r="R120" s="3">
        <f t="shared" si="56"/>
        <v>-593.97841166553417</v>
      </c>
      <c r="S120" s="3">
        <f t="shared" si="59"/>
        <v>-63.487135274911388</v>
      </c>
    </row>
    <row r="121" spans="1:19" x14ac:dyDescent="0.25">
      <c r="A121" s="1">
        <v>-17</v>
      </c>
      <c r="B121" s="3">
        <f t="shared" si="61"/>
        <v>21.727272727272734</v>
      </c>
      <c r="C121" s="3">
        <f t="shared" si="43"/>
        <v>18.468181818181822</v>
      </c>
      <c r="D121" s="1">
        <f t="shared" si="44"/>
        <v>365.44838181818187</v>
      </c>
      <c r="E121" s="59">
        <f t="shared" si="45"/>
        <v>2.9999999999999988E-2</v>
      </c>
      <c r="F121" s="91" t="str">
        <f t="shared" si="46"/>
        <v>Sudah</v>
      </c>
      <c r="G121" s="1">
        <f t="shared" si="47"/>
        <v>390</v>
      </c>
      <c r="H121" s="91" t="str">
        <f t="shared" si="48"/>
        <v>Tarik</v>
      </c>
      <c r="I121" s="3">
        <f t="shared" si="57"/>
        <v>-593.00702929160946</v>
      </c>
      <c r="J121" s="59">
        <f t="shared" si="49"/>
        <v>5.4225941422594119E-3</v>
      </c>
      <c r="K121" s="91" t="str">
        <f t="shared" si="50"/>
        <v>Sudah</v>
      </c>
      <c r="L121" s="1">
        <f t="shared" si="51"/>
        <v>390</v>
      </c>
      <c r="M121" s="91" t="str">
        <f t="shared" si="52"/>
        <v>Tarik</v>
      </c>
      <c r="N121" s="3">
        <f t="shared" si="53"/>
        <v>-554.23349276100419</v>
      </c>
      <c r="O121" s="3">
        <f t="shared" si="54"/>
        <v>-781.79214023443183</v>
      </c>
      <c r="P121" s="60">
        <f t="shared" si="55"/>
        <v>-54.893518443661875</v>
      </c>
      <c r="Q121" s="1">
        <f t="shared" si="58"/>
        <v>0.9</v>
      </c>
      <c r="R121" s="3">
        <f t="shared" si="56"/>
        <v>-703.61292621098869</v>
      </c>
      <c r="S121" s="3">
        <f t="shared" si="59"/>
        <v>-49.404166599295692</v>
      </c>
    </row>
    <row r="122" spans="1:19" x14ac:dyDescent="0.25">
      <c r="A122" s="1">
        <v>-18</v>
      </c>
      <c r="B122" s="3">
        <f t="shared" si="61"/>
        <v>14.48484848484847</v>
      </c>
      <c r="C122" s="3">
        <f t="shared" si="43"/>
        <v>12.3121212121212</v>
      </c>
      <c r="D122" s="1">
        <f t="shared" si="44"/>
        <v>243.63225454545432</v>
      </c>
      <c r="E122" s="59">
        <f t="shared" si="45"/>
        <v>4.6500000000000048E-2</v>
      </c>
      <c r="F122" s="91" t="str">
        <f t="shared" si="46"/>
        <v>Sudah</v>
      </c>
      <c r="G122" s="1">
        <f t="shared" si="47"/>
        <v>390</v>
      </c>
      <c r="H122" s="91" t="str">
        <f t="shared" si="48"/>
        <v>Tarik</v>
      </c>
      <c r="I122" s="3">
        <f t="shared" si="57"/>
        <v>-593.00702929160946</v>
      </c>
      <c r="J122" s="59">
        <f t="shared" si="49"/>
        <v>9.6338912133891348E-3</v>
      </c>
      <c r="K122" s="91" t="str">
        <f t="shared" si="50"/>
        <v>Sudah</v>
      </c>
      <c r="L122" s="1">
        <f t="shared" si="51"/>
        <v>390</v>
      </c>
      <c r="M122" s="91" t="str">
        <f t="shared" si="52"/>
        <v>Tarik</v>
      </c>
      <c r="N122" s="3">
        <f t="shared" si="53"/>
        <v>-554.23349276100419</v>
      </c>
      <c r="O122" s="3">
        <f t="shared" si="54"/>
        <v>-903.60826750715933</v>
      </c>
      <c r="P122" s="60">
        <f t="shared" si="55"/>
        <v>-38.49586800846901</v>
      </c>
      <c r="Q122" s="1">
        <f t="shared" si="58"/>
        <v>0.9</v>
      </c>
      <c r="R122" s="3">
        <f t="shared" si="56"/>
        <v>-813.24744075644344</v>
      </c>
      <c r="S122" s="3">
        <f t="shared" si="59"/>
        <v>-34.64628120762211</v>
      </c>
    </row>
    <row r="123" spans="1:19" x14ac:dyDescent="0.25">
      <c r="A123" s="1">
        <v>-19</v>
      </c>
      <c r="B123" s="3">
        <f t="shared" si="61"/>
        <v>7.2424242424242493</v>
      </c>
      <c r="C123" s="3">
        <f t="shared" si="43"/>
        <v>6.1560606060606116</v>
      </c>
      <c r="D123" s="1">
        <f t="shared" si="44"/>
        <v>121.81612727272737</v>
      </c>
      <c r="E123" s="59">
        <f t="shared" si="45"/>
        <v>9.5999999999999905E-2</v>
      </c>
      <c r="F123" s="91" t="str">
        <f t="shared" si="46"/>
        <v>Sudah</v>
      </c>
      <c r="G123" s="1">
        <f t="shared" si="47"/>
        <v>390</v>
      </c>
      <c r="H123" s="91" t="str">
        <f t="shared" si="48"/>
        <v>Tarik</v>
      </c>
      <c r="I123" s="3">
        <f t="shared" si="57"/>
        <v>-593.00702929160946</v>
      </c>
      <c r="J123" s="59">
        <f t="shared" si="49"/>
        <v>2.226778242677822E-2</v>
      </c>
      <c r="K123" s="91" t="str">
        <f t="shared" si="50"/>
        <v>Sudah</v>
      </c>
      <c r="L123" s="1">
        <f t="shared" si="51"/>
        <v>390</v>
      </c>
      <c r="M123" s="91" t="str">
        <f t="shared" si="52"/>
        <v>Tarik</v>
      </c>
      <c r="N123" s="3">
        <f t="shared" si="53"/>
        <v>-554.23349276100419</v>
      </c>
      <c r="O123" s="3">
        <f t="shared" si="54"/>
        <v>-1025.4243947798864</v>
      </c>
      <c r="P123" s="60">
        <f t="shared" si="55"/>
        <v>-21.348310110989711</v>
      </c>
      <c r="Q123" s="1">
        <f t="shared" si="58"/>
        <v>0.9</v>
      </c>
      <c r="R123" s="3">
        <f t="shared" si="56"/>
        <v>-922.88195530189773</v>
      </c>
      <c r="S123" s="3">
        <f t="shared" si="59"/>
        <v>-19.213479099890741</v>
      </c>
    </row>
    <row r="124" spans="1:19" x14ac:dyDescent="0.25">
      <c r="A124" s="1" t="s">
        <v>2031</v>
      </c>
      <c r="B124" s="62">
        <v>1.0000000000000001E-31</v>
      </c>
      <c r="C124" s="3">
        <f t="shared" si="43"/>
        <v>8.5000000000000003E-32</v>
      </c>
      <c r="D124" s="1">
        <f>0.85*$G$5*C124*$G$8/1000</f>
        <v>1.6819800000000001E-30</v>
      </c>
      <c r="E124" s="59">
        <f t="shared" si="45"/>
        <v>7.169999999999999E+30</v>
      </c>
      <c r="F124" s="91" t="str">
        <f>IF(E124&lt;$G$6/$G$7,"Belum","Sudah")</f>
        <v>Sudah</v>
      </c>
      <c r="G124" s="1">
        <f>IF(F124="Sudah",$G$6,E124*$G$7)</f>
        <v>390</v>
      </c>
      <c r="H124" s="91" t="str">
        <f t="shared" si="48"/>
        <v>Tarik</v>
      </c>
      <c r="I124" s="3">
        <f>$L$13*G124/1000*IF(H124="Tarik",-1,1)</f>
        <v>-593.00702929160946</v>
      </c>
      <c r="J124" s="59">
        <f t="shared" si="49"/>
        <v>1.8299999999999998E+30</v>
      </c>
      <c r="K124" s="91" t="str">
        <f>IF(J124&lt;$G$6/$G$7,"Belum","Sudah")</f>
        <v>Sudah</v>
      </c>
      <c r="L124" s="1">
        <f>IF(K124="Sudah",$G$6,J124*$G$7)</f>
        <v>390</v>
      </c>
      <c r="M124" s="91" t="str">
        <f t="shared" si="52"/>
        <v>Tarik</v>
      </c>
      <c r="N124" s="3">
        <f t="shared" si="53"/>
        <v>-554.23349276100419</v>
      </c>
      <c r="O124" s="3">
        <f t="shared" si="54"/>
        <v>-1147.2405220526136</v>
      </c>
      <c r="P124" s="60">
        <f t="shared" si="55"/>
        <v>-3.4508447512238636</v>
      </c>
      <c r="Q124" s="1">
        <f t="shared" si="58"/>
        <v>0.9</v>
      </c>
      <c r="R124" s="3">
        <f>O124*Q124</f>
        <v>-1032.5164698473523</v>
      </c>
      <c r="S124" s="3">
        <f>P124*Q124</f>
        <v>-3.1057602761014773</v>
      </c>
    </row>
    <row r="125" spans="1:19" x14ac:dyDescent="0.25">
      <c r="E125" s="68"/>
      <c r="F125" s="68"/>
      <c r="H125" s="68"/>
    </row>
    <row r="126" spans="1:19" x14ac:dyDescent="0.25">
      <c r="E126" s="68"/>
      <c r="F126" s="68"/>
      <c r="H126" s="68"/>
    </row>
    <row r="127" spans="1:19" x14ac:dyDescent="0.25">
      <c r="E127" s="68"/>
      <c r="F127" s="68"/>
      <c r="H127" s="68"/>
    </row>
    <row r="128" spans="1:19" x14ac:dyDescent="0.25">
      <c r="E128" s="68"/>
      <c r="F128" s="68"/>
      <c r="H128" s="68"/>
    </row>
    <row r="129" s="68" customFormat="1" x14ac:dyDescent="0.25"/>
    <row r="130" s="68" customFormat="1" x14ac:dyDescent="0.25"/>
    <row r="131" s="68" customFormat="1" x14ac:dyDescent="0.25"/>
    <row r="132" s="68" customFormat="1" x14ac:dyDescent="0.25"/>
  </sheetData>
  <mergeCells count="16">
    <mergeCell ref="R80:S80"/>
    <mergeCell ref="O33:P33"/>
    <mergeCell ref="Q33:Q34"/>
    <mergeCell ref="R33:S33"/>
    <mergeCell ref="A80:A81"/>
    <mergeCell ref="B80:D80"/>
    <mergeCell ref="E80:I80"/>
    <mergeCell ref="J80:N80"/>
    <mergeCell ref="O80:P80"/>
    <mergeCell ref="Q80:Q81"/>
    <mergeCell ref="J18:M18"/>
    <mergeCell ref="J22:M22"/>
    <mergeCell ref="A33:A34"/>
    <mergeCell ref="B33:D33"/>
    <mergeCell ref="E33:I33"/>
    <mergeCell ref="J33:N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E5C6-CAA1-4091-8E33-DECFF43514A7}">
  <sheetPr codeName="Sheet9"/>
  <dimension ref="A1"/>
  <sheetViews>
    <sheetView topLeftCell="A4" zoomScale="115" zoomScaleNormal="115" workbookViewId="0">
      <selection activeCell="V15" sqref="V15"/>
    </sheetView>
  </sheetViews>
  <sheetFormatPr defaultRowHeight="15" x14ac:dyDescent="0.25"/>
  <cols>
    <col min="1" max="16384" width="9.140625" style="8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Perhitungan Beban</vt:lpstr>
      <vt:lpstr>Data NSPT</vt:lpstr>
      <vt:lpstr>RS Pusjatan 2017</vt:lpstr>
      <vt:lpstr>Hasil P1 Kuat I</vt:lpstr>
      <vt:lpstr>Hasil P2 Kuat I</vt:lpstr>
      <vt:lpstr>Kapasitas P1 Komposit</vt:lpstr>
      <vt:lpstr>Kapasitas P1 tanpa CS</vt:lpstr>
      <vt:lpstr>Kapasitas P2</vt:lpstr>
      <vt:lpstr>Diagram Interaksi</vt:lpstr>
      <vt:lpstr>Perbandingan Vs Perencanaan-old</vt:lpstr>
      <vt:lpstr>Perbandingan Vs Perencanaan</vt:lpstr>
      <vt:lpstr>Perbandingan Komposit Vs CSP</vt:lpstr>
      <vt:lpstr>'Perhitungan Beban'!Print_Area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RADENPC-003</dc:creator>
  <cp:lastModifiedBy>RADENPC-003</cp:lastModifiedBy>
  <dcterms:created xsi:type="dcterms:W3CDTF">2021-03-12T23:50:42Z</dcterms:created>
  <dcterms:modified xsi:type="dcterms:W3CDTF">2021-05-28T11:13:11Z</dcterms:modified>
</cp:coreProperties>
</file>